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</sheets>
  <definedNames/>
  <calcPr fullCalcOnLoad="1"/>
</workbook>
</file>

<file path=xl/sharedStrings.xml><?xml version="1.0" encoding="utf-8"?>
<sst xmlns="http://schemas.openxmlformats.org/spreadsheetml/2006/main" count="460" uniqueCount="172">
  <si>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</si>
  <si>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</si>
  <si>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</si>
  <si>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</si>
  <si>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</si>
  <si>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</si>
  <si>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</si>
  <si>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</si>
  <si>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</si>
  <si>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</si>
  <si>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</si>
  <si>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</si>
  <si>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</si>
  <si>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</si>
  <si>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</si>
  <si>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</si>
  <si>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</si>
  <si>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</si>
  <si>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</si>
  <si>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</si>
  <si>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</si>
  <si>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</si>
  <si>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</si>
  <si>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</si>
  <si>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</si>
  <si>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</si>
  <si>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</si>
  <si>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</si>
  <si>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</si>
  <si>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</si>
  <si>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</si>
  <si>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</si>
  <si>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</si>
  <si>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</si>
  <si>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</si>
  <si>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</si>
  <si>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</si>
  <si>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</si>
  <si>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</si>
  <si>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</si>
  <si>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</si>
  <si>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</si>
  <si>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</si>
  <si>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</si>
  <si>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</si>
  <si>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</si>
  <si>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</si>
  <si>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</si>
  <si>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</si>
  <si>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</si>
  <si>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</si>
  <si>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</si>
  <si>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</si>
  <si>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</si>
  <si>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</si>
  <si>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</si>
  <si>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</si>
  <si>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</si>
  <si>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</si>
  <si>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</si>
  <si>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</si>
  <si>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</si>
  <si>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</si>
  <si>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</si>
  <si>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</si>
  <si>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</si>
  <si>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</si>
  <si>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</si>
  <si>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</si>
  <si>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</si>
  <si>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</si>
  <si>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</si>
  <si>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</si>
  <si>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</si>
  <si>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</si>
  <si>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</si>
  <si>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</si>
  <si>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</si>
  <si>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</si>
  <si>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</si>
  <si>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</si>
  <si>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</si>
  <si>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</si>
  <si>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</si>
  <si>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</si>
  <si>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</si>
  <si>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</si>
  <si>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</si>
  <si>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</si>
  <si>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</si>
  <si>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</si>
  <si>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</si>
  <si>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</si>
  <si>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</si>
  <si>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</si>
  <si>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</si>
  <si>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</si>
  <si>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</si>
  <si>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</si>
  <si>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</si>
  <si>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</si>
  <si>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</si>
  <si>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</si>
  <si>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</si>
  <si>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</si>
  <si>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</si>
  <si>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</si>
  <si>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</si>
  <si>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</si>
  <si>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</si>
  <si>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</si>
  <si>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</si>
  <si>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</si>
  <si>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</si>
  <si>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</si>
  <si>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</si>
  <si>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</si>
  <si>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</si>
  <si>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</si>
  <si>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</si>
  <si>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</si>
  <si>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</si>
  <si>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</si>
  <si>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</si>
  <si>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</si>
  <si>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</si>
  <si>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</si>
  <si>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</si>
  <si>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</si>
  <si>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</si>
  <si>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</si>
  <si>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</si>
  <si>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</si>
  <si>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</si>
  <si>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</si>
  <si>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</si>
  <si>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</si>
  <si>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</si>
  <si>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</si>
  <si>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</si>
  <si>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</si>
  <si>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</si>
  <si>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</si>
  <si>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</si>
  <si>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</si>
  <si>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</si>
  <si>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</si>
  <si>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</si>
  <si>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</si>
  <si>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</si>
  <si>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</si>
  <si>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</si>
  <si>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</si>
  <si>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</si>
  <si>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</si>
  <si>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</si>
  <si>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</si>
  <si>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</si>
  <si>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</si>
  <si>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</si>
  <si>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</si>
  <si>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</si>
  <si>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</si>
  <si>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</si>
  <si>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</si>
  <si>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</si>
  <si>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</si>
  <si>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</si>
  <si>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</si>
  <si>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</si>
  <si>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</si>
  <si>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29.03.17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</si>
</sst>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39"/>
  <sheetViews>
    <sheetView tabSelected="1" zoomScale="79" zoomScaleNormal="79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278" t="s">
        <v>170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85"/>
      <c r="S1" s="86"/>
      <c r="T1" s="244"/>
      <c r="U1" s="247"/>
      <c r="V1" s="257"/>
      <c r="W1" s="257"/>
    </row>
    <row r="2" spans="2:23" s="1" customFormat="1" ht="15.75" customHeight="1">
      <c r="B2" s="279"/>
      <c r="C2" s="279"/>
      <c r="D2" s="279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280"/>
      <c r="B3" s="282"/>
      <c r="C3" s="283" t="s">
        <v>0</v>
      </c>
      <c r="D3" s="284" t="s">
        <v>138</v>
      </c>
      <c r="E3" s="31"/>
      <c r="F3" s="285" t="s">
        <v>26</v>
      </c>
      <c r="G3" s="286"/>
      <c r="H3" s="286"/>
      <c r="I3" s="286"/>
      <c r="J3" s="287"/>
      <c r="K3" s="82"/>
      <c r="L3" s="82"/>
      <c r="M3" s="82"/>
      <c r="N3" s="288" t="s">
        <v>152</v>
      </c>
      <c r="O3" s="291" t="s">
        <v>153</v>
      </c>
      <c r="P3" s="291"/>
      <c r="Q3" s="291"/>
      <c r="R3" s="291"/>
      <c r="S3" s="291"/>
      <c r="T3" s="112" t="s">
        <v>164</v>
      </c>
      <c r="U3" s="112" t="s">
        <v>164</v>
      </c>
      <c r="V3" s="258" t="s">
        <v>164</v>
      </c>
      <c r="W3" s="258" t="s">
        <v>164</v>
      </c>
    </row>
    <row r="4" spans="1:22" ht="22.5" customHeight="1">
      <c r="A4" s="280"/>
      <c r="B4" s="282"/>
      <c r="C4" s="283"/>
      <c r="D4" s="284"/>
      <c r="E4" s="292" t="s">
        <v>141</v>
      </c>
      <c r="F4" s="294" t="s">
        <v>33</v>
      </c>
      <c r="G4" s="296" t="s">
        <v>151</v>
      </c>
      <c r="H4" s="289" t="s">
        <v>166</v>
      </c>
      <c r="I4" s="296" t="s">
        <v>125</v>
      </c>
      <c r="J4" s="289" t="s">
        <v>126</v>
      </c>
      <c r="K4" s="84" t="s">
        <v>128</v>
      </c>
      <c r="L4" s="202" t="s">
        <v>111</v>
      </c>
      <c r="M4" s="89" t="s">
        <v>63</v>
      </c>
      <c r="N4" s="289"/>
      <c r="O4" s="298" t="s">
        <v>171</v>
      </c>
      <c r="P4" s="296" t="s">
        <v>49</v>
      </c>
      <c r="Q4" s="300" t="s">
        <v>48</v>
      </c>
      <c r="R4" s="90" t="s">
        <v>64</v>
      </c>
      <c r="S4" s="91" t="s">
        <v>63</v>
      </c>
      <c r="T4" s="28" t="s">
        <v>163</v>
      </c>
      <c r="U4" s="248" t="s">
        <v>163</v>
      </c>
      <c r="V4" s="77" t="s">
        <v>165</v>
      </c>
    </row>
    <row r="5" spans="1:23" ht="67.5" customHeight="1">
      <c r="A5" s="281"/>
      <c r="B5" s="282"/>
      <c r="C5" s="283"/>
      <c r="D5" s="284"/>
      <c r="E5" s="293"/>
      <c r="F5" s="295"/>
      <c r="G5" s="297"/>
      <c r="H5" s="290"/>
      <c r="I5" s="297"/>
      <c r="J5" s="290"/>
      <c r="K5" s="301" t="s">
        <v>158</v>
      </c>
      <c r="L5" s="302"/>
      <c r="M5" s="303"/>
      <c r="N5" s="290"/>
      <c r="O5" s="299"/>
      <c r="P5" s="297"/>
      <c r="Q5" s="300"/>
      <c r="R5" s="301" t="s">
        <v>102</v>
      </c>
      <c r="S5" s="303"/>
      <c r="T5" s="28" t="s">
        <v>156</v>
      </c>
      <c r="U5" s="248" t="s">
        <v>157</v>
      </c>
      <c r="V5" s="77" t="s">
        <v>156</v>
      </c>
      <c r="W5" s="259" t="s">
        <v>157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278161.67</v>
      </c>
      <c r="G8" s="149">
        <f aca="true" t="shared" si="0" ref="G8:G40">F8-E8</f>
        <v>-14377.830000000016</v>
      </c>
      <c r="H8" s="150">
        <f>F8/E8*100</f>
        <v>95.08516627669084</v>
      </c>
      <c r="I8" s="151">
        <f>F8-D8</f>
        <v>-1020289.4300000002</v>
      </c>
      <c r="J8" s="151">
        <f>F8/D8*100</f>
        <v>21.422575713478924</v>
      </c>
      <c r="K8" s="149">
        <v>209787.72</v>
      </c>
      <c r="L8" s="149">
        <f aca="true" t="shared" si="1" ref="L8:L54">F8-K8</f>
        <v>68373.94999999998</v>
      </c>
      <c r="M8" s="203">
        <f aca="true" t="shared" si="2" ref="M8:M31">F8/K8</f>
        <v>1.3259196963482895</v>
      </c>
      <c r="N8" s="149">
        <f>N9+N15+N18+N19+N23+N17</f>
        <v>96294</v>
      </c>
      <c r="O8" s="149">
        <f>O9+O15+O18+O19+O23+O17</f>
        <v>83330.19999999998</v>
      </c>
      <c r="P8" s="149">
        <f>O8-N8</f>
        <v>-12963.800000000017</v>
      </c>
      <c r="Q8" s="149">
        <f>O8/N8*100</f>
        <v>86.53727127339188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152015.24</v>
      </c>
      <c r="G9" s="148">
        <f t="shared" si="0"/>
        <v>-9844.76000000001</v>
      </c>
      <c r="H9" s="155">
        <f>F9/E9*100</f>
        <v>93.9177313727913</v>
      </c>
      <c r="I9" s="156">
        <f>F9-D9</f>
        <v>-614629.76</v>
      </c>
      <c r="J9" s="156">
        <f>F9/D9*100</f>
        <v>19.828635157080523</v>
      </c>
      <c r="K9" s="225">
        <v>112281.82</v>
      </c>
      <c r="L9" s="157">
        <f t="shared" si="1"/>
        <v>39733.419999999984</v>
      </c>
      <c r="M9" s="204">
        <f t="shared" si="2"/>
        <v>1.3538722475285847</v>
      </c>
      <c r="N9" s="155">
        <f>E9-лютий!E9</f>
        <v>59660</v>
      </c>
      <c r="O9" s="158">
        <f>F9-лютий!F9</f>
        <v>50129.29999999999</v>
      </c>
      <c r="P9" s="159">
        <f>O9-N9</f>
        <v>-9530.700000000012</v>
      </c>
      <c r="Q9" s="156">
        <f>O9/N9*100</f>
        <v>84.02497485752596</v>
      </c>
      <c r="R9" s="99"/>
      <c r="S9" s="100"/>
      <c r="T9" s="145">
        <v>58776</v>
      </c>
      <c r="U9" s="245">
        <f>O9-T9</f>
        <v>-8646.700000000012</v>
      </c>
      <c r="V9" s="131">
        <v>160661.9</v>
      </c>
      <c r="W9" s="263">
        <f>F9-V9</f>
        <v>-8646.660000000003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139588.84</v>
      </c>
      <c r="G10" s="102">
        <f t="shared" si="0"/>
        <v>-6923.1600000000035</v>
      </c>
      <c r="H10" s="29">
        <f aca="true" t="shared" si="3" ref="H10:H39">F10/E10*100</f>
        <v>95.27468057223982</v>
      </c>
      <c r="I10" s="103">
        <f aca="true" t="shared" si="4" ref="I10:I40">F10-D10</f>
        <v>-561728.16</v>
      </c>
      <c r="J10" s="103">
        <f aca="true" t="shared" si="5" ref="J10:J39">F10/D10*100</f>
        <v>19.903815250450226</v>
      </c>
      <c r="K10" s="105">
        <v>98464.38</v>
      </c>
      <c r="L10" s="105">
        <f t="shared" si="1"/>
        <v>41124.45999999999</v>
      </c>
      <c r="M10" s="205">
        <f t="shared" si="2"/>
        <v>1.4176582435191283</v>
      </c>
      <c r="N10" s="104">
        <f>E10-лютий!E10</f>
        <v>54164</v>
      </c>
      <c r="O10" s="142">
        <f>F10-лютий!F10</f>
        <v>46862.2</v>
      </c>
      <c r="P10" s="105">
        <f aca="true" t="shared" si="6" ref="P10:P40">O10-N10</f>
        <v>-7301.800000000003</v>
      </c>
      <c r="Q10" s="103">
        <f aca="true" t="shared" si="7" ref="Q10:Q27">O10/N10*100</f>
        <v>86.519090170593</v>
      </c>
      <c r="R10" s="36"/>
      <c r="S10" s="93"/>
      <c r="T10" s="145"/>
      <c r="U10" s="245">
        <f aca="true" t="shared" si="8" ref="U10:U42">O10-T10</f>
        <v>46862.2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7719.38</v>
      </c>
      <c r="G11" s="102">
        <f t="shared" si="0"/>
        <v>-3080.62</v>
      </c>
      <c r="H11" s="29">
        <f t="shared" si="3"/>
        <v>71.47574074074075</v>
      </c>
      <c r="I11" s="103">
        <f t="shared" si="4"/>
        <v>-38786.62</v>
      </c>
      <c r="J11" s="103">
        <f t="shared" si="5"/>
        <v>16.598675439728208</v>
      </c>
      <c r="K11" s="105">
        <v>8077.11</v>
      </c>
      <c r="L11" s="105">
        <f t="shared" si="1"/>
        <v>-357.72999999999956</v>
      </c>
      <c r="M11" s="205">
        <f t="shared" si="2"/>
        <v>0.9557106440298573</v>
      </c>
      <c r="N11" s="104">
        <f>E11-лютий!E11</f>
        <v>3600</v>
      </c>
      <c r="O11" s="142">
        <f>F11-лютий!F11</f>
        <v>1824.12</v>
      </c>
      <c r="P11" s="105">
        <f t="shared" si="6"/>
        <v>-1775.88</v>
      </c>
      <c r="Q11" s="103">
        <f t="shared" si="7"/>
        <v>50.669999999999995</v>
      </c>
      <c r="R11" s="36"/>
      <c r="S11" s="93"/>
      <c r="T11" s="145"/>
      <c r="U11" s="245">
        <f t="shared" si="8"/>
        <v>1824.12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1670.79</v>
      </c>
      <c r="G12" s="102">
        <f t="shared" si="0"/>
        <v>-69.21000000000004</v>
      </c>
      <c r="H12" s="29">
        <f t="shared" si="3"/>
        <v>96.02241379310344</v>
      </c>
      <c r="I12" s="103">
        <f t="shared" si="4"/>
        <v>-6609.21</v>
      </c>
      <c r="J12" s="103">
        <f t="shared" si="5"/>
        <v>20.178623188405798</v>
      </c>
      <c r="K12" s="105">
        <v>2379.47</v>
      </c>
      <c r="L12" s="105">
        <f t="shared" si="1"/>
        <v>-708.6799999999998</v>
      </c>
      <c r="M12" s="205">
        <f t="shared" si="2"/>
        <v>0.7021689704009717</v>
      </c>
      <c r="N12" s="104">
        <f>E12-лютий!E12</f>
        <v>900</v>
      </c>
      <c r="O12" s="142">
        <f>F12-лютий!F12</f>
        <v>633.3699999999999</v>
      </c>
      <c r="P12" s="105">
        <f t="shared" si="6"/>
        <v>-266.6300000000001</v>
      </c>
      <c r="Q12" s="103">
        <f t="shared" si="7"/>
        <v>70.37444444444444</v>
      </c>
      <c r="R12" s="36"/>
      <c r="S12" s="93"/>
      <c r="T12" s="145"/>
      <c r="U12" s="245">
        <f t="shared" si="8"/>
        <v>633.3699999999999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2662.56</v>
      </c>
      <c r="G13" s="102">
        <f t="shared" si="0"/>
        <v>142.55999999999995</v>
      </c>
      <c r="H13" s="29">
        <f t="shared" si="3"/>
        <v>105.65714285714284</v>
      </c>
      <c r="I13" s="103">
        <f t="shared" si="4"/>
        <v>-6727.4400000000005</v>
      </c>
      <c r="J13" s="103">
        <f t="shared" si="5"/>
        <v>28.355271565495205</v>
      </c>
      <c r="K13" s="105">
        <v>2424.94</v>
      </c>
      <c r="L13" s="105">
        <f t="shared" si="1"/>
        <v>237.6199999999999</v>
      </c>
      <c r="M13" s="205">
        <f t="shared" si="2"/>
        <v>1.097990053362145</v>
      </c>
      <c r="N13" s="104">
        <f>E13-лютий!E13</f>
        <v>900</v>
      </c>
      <c r="O13" s="142">
        <f>F13-лютий!F13</f>
        <v>634.24</v>
      </c>
      <c r="P13" s="105">
        <f t="shared" si="6"/>
        <v>-265.76</v>
      </c>
      <c r="Q13" s="103">
        <f t="shared" si="7"/>
        <v>70.4711111111111</v>
      </c>
      <c r="R13" s="36"/>
      <c r="S13" s="93"/>
      <c r="T13" s="145"/>
      <c r="U13" s="245">
        <f t="shared" si="8"/>
        <v>634.24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161</v>
      </c>
      <c r="C19" s="42"/>
      <c r="D19" s="148">
        <f>D20+D21+D22</f>
        <v>130000</v>
      </c>
      <c r="E19" s="148">
        <f>E20+E21+E22</f>
        <v>27800</v>
      </c>
      <c r="F19" s="154">
        <v>26563.14</v>
      </c>
      <c r="G19" s="160">
        <f t="shared" si="0"/>
        <v>-1236.8600000000006</v>
      </c>
      <c r="H19" s="162">
        <f t="shared" si="3"/>
        <v>95.55086330935252</v>
      </c>
      <c r="I19" s="163">
        <f t="shared" si="4"/>
        <v>-103436.86</v>
      </c>
      <c r="J19" s="163">
        <f t="shared" si="5"/>
        <v>20.433184615384615</v>
      </c>
      <c r="K19" s="159">
        <v>18270.9</v>
      </c>
      <c r="L19" s="165">
        <f t="shared" si="1"/>
        <v>8292.239999999998</v>
      </c>
      <c r="M19" s="211">
        <f t="shared" si="2"/>
        <v>1.4538495640608835</v>
      </c>
      <c r="N19" s="162">
        <f>N20+N21+N22</f>
        <v>9800</v>
      </c>
      <c r="O19" s="166">
        <f>O20+O21+O22</f>
        <v>12857.23</v>
      </c>
      <c r="P19" s="165">
        <f t="shared" si="6"/>
        <v>3057.2299999999996</v>
      </c>
      <c r="Q19" s="163">
        <f t="shared" si="7"/>
        <v>131.1962244897959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162</v>
      </c>
      <c r="C20" s="122">
        <v>14040000</v>
      </c>
      <c r="D20" s="251">
        <v>130000</v>
      </c>
      <c r="E20" s="251">
        <v>27800</v>
      </c>
      <c r="F20" s="199">
        <v>17428.41</v>
      </c>
      <c r="G20" s="251">
        <f t="shared" si="0"/>
        <v>-10371.59</v>
      </c>
      <c r="H20" s="193">
        <f t="shared" si="3"/>
        <v>62.69212230215827</v>
      </c>
      <c r="I20" s="252">
        <f t="shared" si="4"/>
        <v>-112571.59</v>
      </c>
      <c r="J20" s="252">
        <f t="shared" si="5"/>
        <v>13.40646923076923</v>
      </c>
      <c r="K20" s="253">
        <v>18270.89</v>
      </c>
      <c r="L20" s="164">
        <f t="shared" si="1"/>
        <v>-842.4799999999996</v>
      </c>
      <c r="M20" s="254">
        <f t="shared" si="2"/>
        <v>0.9538894930679349</v>
      </c>
      <c r="N20" s="193">
        <f>E20-лютий!E19</f>
        <v>9800</v>
      </c>
      <c r="O20" s="177">
        <f>F20-лютий!F19</f>
        <v>3722.5</v>
      </c>
      <c r="P20" s="164">
        <f t="shared" si="6"/>
        <v>-6077.5</v>
      </c>
      <c r="Q20" s="252">
        <f t="shared" si="7"/>
        <v>37.98469387755102</v>
      </c>
      <c r="R20" s="106"/>
      <c r="S20" s="107"/>
      <c r="T20" s="255">
        <v>4250</v>
      </c>
      <c r="U20" s="256">
        <f t="shared" si="8"/>
        <v>-527.5</v>
      </c>
      <c r="V20" s="260">
        <v>17955.9</v>
      </c>
      <c r="W20" s="263">
        <f>F20-V20</f>
        <v>-527.4900000000016</v>
      </c>
    </row>
    <row r="21" spans="1:23" s="6" customFormat="1" ht="18">
      <c r="A21" s="8"/>
      <c r="B21" s="250" t="s">
        <v>159</v>
      </c>
      <c r="C21" s="122">
        <v>14021900</v>
      </c>
      <c r="D21" s="251">
        <v>0</v>
      </c>
      <c r="E21" s="251">
        <v>0</v>
      </c>
      <c r="F21" s="199">
        <v>1790.1</v>
      </c>
      <c r="G21" s="251">
        <f t="shared" si="0"/>
        <v>1790.1</v>
      </c>
      <c r="H21" s="193"/>
      <c r="I21" s="252">
        <f t="shared" si="4"/>
        <v>1790.1</v>
      </c>
      <c r="J21" s="252"/>
      <c r="K21" s="253">
        <v>0</v>
      </c>
      <c r="L21" s="164">
        <f t="shared" si="1"/>
        <v>1790.1</v>
      </c>
      <c r="M21" s="254"/>
      <c r="N21" s="193">
        <v>0</v>
      </c>
      <c r="O21" s="177">
        <f>F21</f>
        <v>1790.1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160</v>
      </c>
      <c r="C22" s="122">
        <v>14031900</v>
      </c>
      <c r="D22" s="251">
        <v>0</v>
      </c>
      <c r="E22" s="251">
        <v>0</v>
      </c>
      <c r="F22" s="199">
        <v>7344.63</v>
      </c>
      <c r="G22" s="251">
        <f t="shared" si="0"/>
        <v>7344.63</v>
      </c>
      <c r="H22" s="193"/>
      <c r="I22" s="252">
        <f t="shared" si="4"/>
        <v>7344.63</v>
      </c>
      <c r="J22" s="252"/>
      <c r="K22" s="253">
        <v>0</v>
      </c>
      <c r="L22" s="164">
        <f t="shared" si="1"/>
        <v>7344.63</v>
      </c>
      <c r="M22" s="254"/>
      <c r="N22" s="193">
        <v>0</v>
      </c>
      <c r="O22" s="177">
        <f>F22</f>
        <v>7344.63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99831.25</v>
      </c>
      <c r="G23" s="148">
        <f t="shared" si="0"/>
        <v>-2807.25</v>
      </c>
      <c r="H23" s="155">
        <f t="shared" si="3"/>
        <v>97.264915212128</v>
      </c>
      <c r="I23" s="156">
        <f t="shared" si="4"/>
        <v>-301298.85</v>
      </c>
      <c r="J23" s="156">
        <f t="shared" si="5"/>
        <v>24.887499093186975</v>
      </c>
      <c r="K23" s="156">
        <v>78944.09</v>
      </c>
      <c r="L23" s="159">
        <f t="shared" si="1"/>
        <v>20887.160000000003</v>
      </c>
      <c r="M23" s="207">
        <f t="shared" si="2"/>
        <v>1.2645816805285868</v>
      </c>
      <c r="N23" s="155">
        <f>E23-лютий!E20</f>
        <v>26714</v>
      </c>
      <c r="O23" s="158">
        <f>F23-лютий!F20</f>
        <v>20724</v>
      </c>
      <c r="P23" s="159">
        <f t="shared" si="6"/>
        <v>-5990</v>
      </c>
      <c r="Q23" s="156">
        <f t="shared" si="7"/>
        <v>77.57730029198173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44833.83</v>
      </c>
      <c r="G24" s="148">
        <f t="shared" si="0"/>
        <v>-3006.970000000001</v>
      </c>
      <c r="H24" s="155">
        <f t="shared" si="3"/>
        <v>93.71463269844985</v>
      </c>
      <c r="I24" s="156">
        <f t="shared" si="4"/>
        <v>-161787.16999999998</v>
      </c>
      <c r="J24" s="156">
        <f t="shared" si="5"/>
        <v>21.698583396653778</v>
      </c>
      <c r="K24" s="156">
        <v>40388.11</v>
      </c>
      <c r="L24" s="159">
        <f t="shared" si="1"/>
        <v>4445.720000000001</v>
      </c>
      <c r="M24" s="207">
        <f t="shared" si="2"/>
        <v>1.1100749700840173</v>
      </c>
      <c r="N24" s="155">
        <f>E24-лютий!E21</f>
        <v>15760.000000000004</v>
      </c>
      <c r="O24" s="158">
        <f>F24-лютий!F21</f>
        <v>13378.780000000002</v>
      </c>
      <c r="P24" s="159">
        <f t="shared" si="6"/>
        <v>-2381.220000000001</v>
      </c>
      <c r="Q24" s="156">
        <f t="shared" si="7"/>
        <v>84.89073604060914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5103.25</v>
      </c>
      <c r="G25" s="169">
        <f t="shared" si="0"/>
        <v>153.25</v>
      </c>
      <c r="H25" s="171">
        <f t="shared" si="3"/>
        <v>103.09595959595958</v>
      </c>
      <c r="I25" s="172">
        <f t="shared" si="4"/>
        <v>-17705.75</v>
      </c>
      <c r="J25" s="172">
        <f t="shared" si="5"/>
        <v>22.373843658205097</v>
      </c>
      <c r="K25" s="173">
        <v>4194.89</v>
      </c>
      <c r="L25" s="164">
        <f t="shared" si="1"/>
        <v>908.3599999999997</v>
      </c>
      <c r="M25" s="213">
        <f t="shared" si="2"/>
        <v>1.216539647046764</v>
      </c>
      <c r="N25" s="193">
        <f>E25-лютий!E22</f>
        <v>575</v>
      </c>
      <c r="O25" s="177">
        <f>F25-лютий!F22</f>
        <v>695.04</v>
      </c>
      <c r="P25" s="175">
        <f t="shared" si="6"/>
        <v>120.03999999999996</v>
      </c>
      <c r="Q25" s="172">
        <f t="shared" si="7"/>
        <v>120.87652173913044</v>
      </c>
      <c r="R25" s="106"/>
      <c r="S25" s="107"/>
      <c r="T25" s="145">
        <v>374</v>
      </c>
      <c r="U25" s="245">
        <f t="shared" si="8"/>
        <v>321.03999999999996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4946.18</v>
      </c>
      <c r="G27" s="196">
        <f t="shared" si="0"/>
        <v>246.1800000000003</v>
      </c>
      <c r="H27" s="197">
        <f t="shared" si="3"/>
        <v>105.23787234042554</v>
      </c>
      <c r="I27" s="198">
        <f t="shared" si="4"/>
        <v>-16040.52</v>
      </c>
      <c r="J27" s="198">
        <f t="shared" si="5"/>
        <v>23.568164599484437</v>
      </c>
      <c r="K27" s="198">
        <v>4038.47</v>
      </c>
      <c r="L27" s="198">
        <f t="shared" si="1"/>
        <v>907.7100000000005</v>
      </c>
      <c r="M27" s="226">
        <f t="shared" si="2"/>
        <v>1.2247658147763882</v>
      </c>
      <c r="N27" s="234">
        <f>E27-лютий!E24</f>
        <v>520</v>
      </c>
      <c r="O27" s="234">
        <f>F27-лютий!F24</f>
        <v>688.2000000000007</v>
      </c>
      <c r="P27" s="198">
        <f t="shared" si="6"/>
        <v>168.20000000000073</v>
      </c>
      <c r="Q27" s="198">
        <f t="shared" si="7"/>
        <v>132.34615384615398</v>
      </c>
      <c r="R27" s="106"/>
      <c r="S27" s="107"/>
      <c r="T27" s="145"/>
      <c r="U27" s="245">
        <f t="shared" si="8"/>
        <v>688.2000000000007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29.17</v>
      </c>
      <c r="G28" s="169">
        <f t="shared" si="0"/>
        <v>-26.629999999999995</v>
      </c>
      <c r="H28" s="171">
        <f t="shared" si="3"/>
        <v>52.275985663082444</v>
      </c>
      <c r="I28" s="172">
        <f t="shared" si="4"/>
        <v>-790.83</v>
      </c>
      <c r="J28" s="172">
        <f t="shared" si="5"/>
        <v>3.557317073170732</v>
      </c>
      <c r="K28" s="172">
        <v>313.88</v>
      </c>
      <c r="L28" s="172">
        <f t="shared" si="1"/>
        <v>-284.71</v>
      </c>
      <c r="M28" s="210">
        <f t="shared" si="2"/>
        <v>0.09293360519943929</v>
      </c>
      <c r="N28" s="193">
        <f>E28-лютий!E25</f>
        <v>5</v>
      </c>
      <c r="O28" s="177">
        <f>F28-лютий!F25</f>
        <v>-50</v>
      </c>
      <c r="P28" s="175">
        <f t="shared" si="6"/>
        <v>-55</v>
      </c>
      <c r="Q28" s="172">
        <f>O28/N28*100</f>
        <v>-1000</v>
      </c>
      <c r="R28" s="106"/>
      <c r="S28" s="107"/>
      <c r="T28" s="145">
        <v>0</v>
      </c>
      <c r="U28" s="245">
        <f t="shared" si="8"/>
        <v>-50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39701.41</v>
      </c>
      <c r="G29" s="169">
        <f t="shared" si="0"/>
        <v>-3133.5899999999965</v>
      </c>
      <c r="H29" s="171">
        <f t="shared" si="3"/>
        <v>92.68451033033735</v>
      </c>
      <c r="I29" s="172">
        <f t="shared" si="4"/>
        <v>-143290.59</v>
      </c>
      <c r="J29" s="172">
        <f t="shared" si="5"/>
        <v>21.695708009093295</v>
      </c>
      <c r="K29" s="173">
        <v>35879.34</v>
      </c>
      <c r="L29" s="173">
        <f t="shared" si="1"/>
        <v>3822.070000000007</v>
      </c>
      <c r="M29" s="209">
        <f t="shared" si="2"/>
        <v>1.1065256495799534</v>
      </c>
      <c r="N29" s="193">
        <f>E29-лютий!E26</f>
        <v>15180</v>
      </c>
      <c r="O29" s="177">
        <f>F29-лютий!F26</f>
        <v>12733.740000000005</v>
      </c>
      <c r="P29" s="175">
        <f t="shared" si="6"/>
        <v>-2446.2599999999948</v>
      </c>
      <c r="Q29" s="172">
        <f>O29/N29*100</f>
        <v>83.88498023715418</v>
      </c>
      <c r="R29" s="106"/>
      <c r="S29" s="107"/>
      <c r="T29" s="145">
        <v>15224</v>
      </c>
      <c r="U29" s="245">
        <f t="shared" si="8"/>
        <v>-2490.2599999999948</v>
      </c>
      <c r="V29" s="131">
        <v>42191.7</v>
      </c>
      <c r="W29" s="263">
        <f>F29-V29</f>
        <v>-2490.2899999999936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13272.13</v>
      </c>
      <c r="G30" s="196">
        <f t="shared" si="0"/>
        <v>442.1299999999992</v>
      </c>
      <c r="H30" s="197">
        <f t="shared" si="3"/>
        <v>103.44606391270459</v>
      </c>
      <c r="I30" s="198">
        <f t="shared" si="4"/>
        <v>-44260.87</v>
      </c>
      <c r="J30" s="198">
        <f t="shared" si="5"/>
        <v>23.068725774772737</v>
      </c>
      <c r="K30" s="198">
        <v>10893.12</v>
      </c>
      <c r="L30" s="198">
        <f t="shared" si="1"/>
        <v>2379.0099999999984</v>
      </c>
      <c r="M30" s="226">
        <f t="shared" si="2"/>
        <v>1.218395647895185</v>
      </c>
      <c r="N30" s="234">
        <f>E30-лютий!E27</f>
        <v>4650</v>
      </c>
      <c r="O30" s="234">
        <f>F30-лютий!F27</f>
        <v>4412.92</v>
      </c>
      <c r="P30" s="198">
        <f t="shared" si="6"/>
        <v>-237.07999999999993</v>
      </c>
      <c r="Q30" s="198">
        <f>O30/N30*100</f>
        <v>94.90150537634409</v>
      </c>
      <c r="R30" s="106"/>
      <c r="S30" s="107"/>
      <c r="T30" s="145"/>
      <c r="U30" s="245">
        <f t="shared" si="8"/>
        <v>4412.92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26429.28</v>
      </c>
      <c r="G31" s="196">
        <f t="shared" si="0"/>
        <v>-3575.720000000001</v>
      </c>
      <c r="H31" s="197">
        <f t="shared" si="3"/>
        <v>88.08291951341442</v>
      </c>
      <c r="I31" s="198">
        <f t="shared" si="4"/>
        <v>-99029.72</v>
      </c>
      <c r="J31" s="198">
        <f t="shared" si="5"/>
        <v>21.06606939318821</v>
      </c>
      <c r="K31" s="198">
        <v>24986.12</v>
      </c>
      <c r="L31" s="198">
        <f t="shared" si="1"/>
        <v>1443.1599999999999</v>
      </c>
      <c r="M31" s="226">
        <f t="shared" si="2"/>
        <v>1.0577584675011567</v>
      </c>
      <c r="N31" s="234">
        <f>E31-лютий!E28</f>
        <v>10530</v>
      </c>
      <c r="O31" s="234">
        <f>F31-лютий!F28</f>
        <v>8320.82</v>
      </c>
      <c r="P31" s="198">
        <f t="shared" si="6"/>
        <v>-2209.1800000000003</v>
      </c>
      <c r="Q31" s="198">
        <f>O31/N31*100</f>
        <v>79.02013295346629</v>
      </c>
      <c r="R31" s="106"/>
      <c r="S31" s="107"/>
      <c r="T31" s="145"/>
      <c r="U31" s="245">
        <f t="shared" si="8"/>
        <v>8320.82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-23.9</v>
      </c>
      <c r="G34" s="148">
        <f t="shared" si="0"/>
        <v>-23.9</v>
      </c>
      <c r="H34" s="155"/>
      <c r="I34" s="156">
        <f t="shared" si="4"/>
        <v>-23.9</v>
      </c>
      <c r="J34" s="156"/>
      <c r="K34" s="156">
        <v>-81.54</v>
      </c>
      <c r="L34" s="156">
        <f t="shared" si="1"/>
        <v>57.64000000000001</v>
      </c>
      <c r="M34" s="208">
        <f>F34/K34</f>
        <v>0.29310767721363745</v>
      </c>
      <c r="N34" s="155">
        <f>E34-лютий!E31</f>
        <v>0</v>
      </c>
      <c r="O34" s="158">
        <f>F34-лютий!F31</f>
        <v>-13.139999999999999</v>
      </c>
      <c r="P34" s="159">
        <f t="shared" si="6"/>
        <v>-13.139999999999999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54983.92</v>
      </c>
      <c r="G35" s="160">
        <f t="shared" si="0"/>
        <v>205.22000000000116</v>
      </c>
      <c r="H35" s="162">
        <f t="shared" si="3"/>
        <v>100.37463466639404</v>
      </c>
      <c r="I35" s="163">
        <f t="shared" si="4"/>
        <v>-139410.18</v>
      </c>
      <c r="J35" s="163">
        <f t="shared" si="5"/>
        <v>28.284767901906488</v>
      </c>
      <c r="K35" s="176">
        <v>38612.71</v>
      </c>
      <c r="L35" s="176">
        <f>F35-K35</f>
        <v>16371.21</v>
      </c>
      <c r="M35" s="224">
        <f>F35/K35</f>
        <v>1.4239850039015651</v>
      </c>
      <c r="N35" s="155">
        <f>E35-лютий!E32</f>
        <v>10950</v>
      </c>
      <c r="O35" s="158">
        <f>F35-лютий!F32</f>
        <v>7355.360000000001</v>
      </c>
      <c r="P35" s="165">
        <f t="shared" si="6"/>
        <v>-3594.6399999999994</v>
      </c>
      <c r="Q35" s="163">
        <f>O35/N35*100</f>
        <v>67.17223744292238</v>
      </c>
      <c r="R35" s="106"/>
      <c r="S35" s="107"/>
      <c r="T35" s="145">
        <v>6650</v>
      </c>
      <c r="U35" s="245">
        <f t="shared" si="8"/>
        <v>705.3600000000006</v>
      </c>
      <c r="V35" s="131"/>
      <c r="W35" s="262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10842.05</v>
      </c>
      <c r="G37" s="102">
        <f t="shared" si="0"/>
        <v>442.0499999999993</v>
      </c>
      <c r="H37" s="104">
        <f t="shared" si="3"/>
        <v>104.25048076923076</v>
      </c>
      <c r="I37" s="103">
        <f t="shared" si="4"/>
        <v>-30157.95</v>
      </c>
      <c r="J37" s="103">
        <f t="shared" si="5"/>
        <v>26.444024390243904</v>
      </c>
      <c r="K37" s="126">
        <v>9812.49</v>
      </c>
      <c r="L37" s="126">
        <f t="shared" si="1"/>
        <v>1029.5599999999995</v>
      </c>
      <c r="M37" s="214">
        <f t="shared" si="9"/>
        <v>1.104923419030236</v>
      </c>
      <c r="N37" s="104">
        <f>E37-лютий!E34</f>
        <v>1290</v>
      </c>
      <c r="O37" s="142">
        <f>F37-лютий!F34</f>
        <v>1086.0999999999985</v>
      </c>
      <c r="P37" s="105">
        <f t="shared" si="6"/>
        <v>-203.90000000000146</v>
      </c>
      <c r="Q37" s="103">
        <f>O37/N37*100</f>
        <v>84.19379844961229</v>
      </c>
      <c r="R37" s="106"/>
      <c r="S37" s="107"/>
      <c r="T37" s="145"/>
      <c r="U37" s="245">
        <f t="shared" si="8"/>
        <v>1086.0999999999985</v>
      </c>
      <c r="V37" s="131"/>
      <c r="W37" s="262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44125.75</v>
      </c>
      <c r="G38" s="102">
        <f t="shared" si="0"/>
        <v>-234.25</v>
      </c>
      <c r="H38" s="104">
        <f t="shared" si="3"/>
        <v>99.47193417493237</v>
      </c>
      <c r="I38" s="103">
        <f t="shared" si="4"/>
        <v>-109213.35</v>
      </c>
      <c r="J38" s="103">
        <f t="shared" si="5"/>
        <v>28.776580793809277</v>
      </c>
      <c r="K38" s="126">
        <v>28792.38</v>
      </c>
      <c r="L38" s="126">
        <f t="shared" si="1"/>
        <v>15333.369999999999</v>
      </c>
      <c r="M38" s="214">
        <f t="shared" si="9"/>
        <v>1.5325495842997348</v>
      </c>
      <c r="N38" s="104">
        <f>E38-лютий!E35</f>
        <v>9660</v>
      </c>
      <c r="O38" s="142">
        <f>F38-лютий!F35</f>
        <v>6269.25</v>
      </c>
      <c r="P38" s="105">
        <f t="shared" si="6"/>
        <v>-3390.75</v>
      </c>
      <c r="Q38" s="103">
        <f>O38/N38*100</f>
        <v>64.89906832298136</v>
      </c>
      <c r="R38" s="106"/>
      <c r="S38" s="107"/>
      <c r="T38" s="145"/>
      <c r="U38" s="245">
        <f t="shared" si="8"/>
        <v>6269.25</v>
      </c>
      <c r="V38" s="131"/>
      <c r="W38" s="262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13662.78</v>
      </c>
      <c r="G41" s="149">
        <f>G42+G43+G44+G45+G46+G48+G50+G51+G52+G53+G54+G59+G60+G64</f>
        <v>-624.2300000000002</v>
      </c>
      <c r="H41" s="150">
        <f>F41/E41*100</f>
        <v>95.4524686139852</v>
      </c>
      <c r="I41" s="151">
        <f>F41-D41</f>
        <v>-45362.22</v>
      </c>
      <c r="J41" s="151">
        <f>F41/D41*100</f>
        <v>23.147445997458703</v>
      </c>
      <c r="K41" s="149">
        <v>10672.26</v>
      </c>
      <c r="L41" s="149">
        <f t="shared" si="1"/>
        <v>2990.5200000000004</v>
      </c>
      <c r="M41" s="203">
        <f t="shared" si="9"/>
        <v>1.28021431261982</v>
      </c>
      <c r="N41" s="149">
        <f>N42+N43+N44+N45+N46+N48+N50+N51+N52+N53+N54+N59+N60+N64+N47</f>
        <v>6539.6</v>
      </c>
      <c r="O41" s="149">
        <f>O42+O43+O44+O45+O46+O48+O50+O51+O52+O53+O54+O59+O60+O64+O47</f>
        <v>4971.15</v>
      </c>
      <c r="P41" s="149">
        <f>P42+P43+P44+P45+P46+P48+P50+P51+P52+P53+P54+P59+P60+P64</f>
        <v>-1555.36</v>
      </c>
      <c r="Q41" s="149">
        <f>O41/N41*100</f>
        <v>76.01611719371213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264.21</v>
      </c>
      <c r="G46" s="160">
        <f t="shared" si="12"/>
        <v>202.20999999999998</v>
      </c>
      <c r="H46" s="162">
        <f t="shared" si="10"/>
        <v>426.1451612903225</v>
      </c>
      <c r="I46" s="163">
        <f t="shared" si="13"/>
        <v>4.2099999999999795</v>
      </c>
      <c r="J46" s="163">
        <f t="shared" si="15"/>
        <v>101.61923076923077</v>
      </c>
      <c r="K46" s="163">
        <v>20.4</v>
      </c>
      <c r="L46" s="163">
        <f t="shared" si="1"/>
        <v>243.80999999999997</v>
      </c>
      <c r="M46" s="216">
        <f t="shared" si="16"/>
        <v>12.951470588235294</v>
      </c>
      <c r="N46" s="162">
        <f>E46-лютий!E43</f>
        <v>22</v>
      </c>
      <c r="O46" s="166">
        <f>F46-лютий!F43</f>
        <v>182.13</v>
      </c>
      <c r="P46" s="165">
        <f t="shared" si="14"/>
        <v>160.13</v>
      </c>
      <c r="Q46" s="163">
        <f t="shared" si="11"/>
        <v>827.8636363636364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287.07</v>
      </c>
      <c r="G48" s="160">
        <f t="shared" si="12"/>
        <v>7.069999999999993</v>
      </c>
      <c r="H48" s="162">
        <f t="shared" si="10"/>
        <v>102.525</v>
      </c>
      <c r="I48" s="163">
        <f t="shared" si="13"/>
        <v>-442.93</v>
      </c>
      <c r="J48" s="163">
        <f t="shared" si="15"/>
        <v>39.324657534246576</v>
      </c>
      <c r="K48" s="163">
        <v>0</v>
      </c>
      <c r="L48" s="163">
        <f t="shared" si="1"/>
        <v>287.07</v>
      </c>
      <c r="M48" s="216"/>
      <c r="N48" s="162">
        <f>E48-лютий!E45</f>
        <v>160</v>
      </c>
      <c r="O48" s="166">
        <f>F48-лютий!F45</f>
        <v>94.68</v>
      </c>
      <c r="P48" s="165">
        <f t="shared" si="14"/>
        <v>-65.32</v>
      </c>
      <c r="Q48" s="163">
        <f t="shared" si="11"/>
        <v>59.175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3429.04</v>
      </c>
      <c r="G50" s="160">
        <f t="shared" si="12"/>
        <v>89.03999999999996</v>
      </c>
      <c r="H50" s="162">
        <f t="shared" si="10"/>
        <v>102.66586826347306</v>
      </c>
      <c r="I50" s="163">
        <f t="shared" si="13"/>
        <v>-7570.96</v>
      </c>
      <c r="J50" s="163">
        <f t="shared" si="15"/>
        <v>31.173090909090913</v>
      </c>
      <c r="K50" s="163">
        <v>2339.58</v>
      </c>
      <c r="L50" s="163">
        <f t="shared" si="1"/>
        <v>1089.46</v>
      </c>
      <c r="M50" s="216">
        <f t="shared" si="16"/>
        <v>1.4656647774386855</v>
      </c>
      <c r="N50" s="162">
        <f>E50-лютий!E47</f>
        <v>1940</v>
      </c>
      <c r="O50" s="166">
        <f>F50-лютий!F47</f>
        <v>1285.3200000000002</v>
      </c>
      <c r="P50" s="165">
        <f t="shared" si="14"/>
        <v>-654.6799999999998</v>
      </c>
      <c r="Q50" s="163">
        <f t="shared" si="11"/>
        <v>66.25360824742269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131.33</v>
      </c>
      <c r="G51" s="160">
        <f t="shared" si="12"/>
        <v>56.33000000000001</v>
      </c>
      <c r="H51" s="162">
        <f t="shared" si="10"/>
        <v>175.10666666666668</v>
      </c>
      <c r="I51" s="163">
        <f t="shared" si="13"/>
        <v>-178.67</v>
      </c>
      <c r="J51" s="163">
        <f t="shared" si="15"/>
        <v>42.36451612903227</v>
      </c>
      <c r="K51" s="163">
        <v>1.2</v>
      </c>
      <c r="L51" s="163">
        <f t="shared" si="1"/>
        <v>130.13000000000002</v>
      </c>
      <c r="M51" s="216"/>
      <c r="N51" s="162">
        <f>E51-лютий!E48</f>
        <v>25</v>
      </c>
      <c r="O51" s="166">
        <f>F51-лютий!F48</f>
        <v>40.890000000000015</v>
      </c>
      <c r="P51" s="165">
        <f t="shared" si="14"/>
        <v>15.890000000000015</v>
      </c>
      <c r="Q51" s="163">
        <f t="shared" si="11"/>
        <v>163.56000000000006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234.52</v>
      </c>
      <c r="G54" s="160">
        <f t="shared" si="12"/>
        <v>-0.47999999999998977</v>
      </c>
      <c r="H54" s="162">
        <f t="shared" si="10"/>
        <v>99.79574468085107</v>
      </c>
      <c r="I54" s="163">
        <f t="shared" si="13"/>
        <v>-965.48</v>
      </c>
      <c r="J54" s="163">
        <f t="shared" si="15"/>
        <v>19.543333333333337</v>
      </c>
      <c r="K54" s="163">
        <v>1500.1</v>
      </c>
      <c r="L54" s="163">
        <f t="shared" si="1"/>
        <v>-1265.58</v>
      </c>
      <c r="M54" s="216">
        <f t="shared" si="16"/>
        <v>0.1563362442503833</v>
      </c>
      <c r="N54" s="162">
        <f>E54-лютий!E51</f>
        <v>95</v>
      </c>
      <c r="O54" s="166">
        <f>F54-лютий!F51</f>
        <v>145.47000000000003</v>
      </c>
      <c r="P54" s="165">
        <f t="shared" si="14"/>
        <v>50.47000000000003</v>
      </c>
      <c r="Q54" s="163">
        <f t="shared" si="11"/>
        <v>153.12631578947372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210.34</v>
      </c>
      <c r="G55" s="33">
        <f t="shared" si="12"/>
        <v>20.340000000000003</v>
      </c>
      <c r="H55" s="29">
        <f t="shared" si="10"/>
        <v>110.70526315789473</v>
      </c>
      <c r="I55" s="103">
        <f t="shared" si="13"/>
        <v>-787.66</v>
      </c>
      <c r="J55" s="103">
        <f t="shared" si="15"/>
        <v>21.07615230460922</v>
      </c>
      <c r="K55" s="103">
        <v>163.68</v>
      </c>
      <c r="L55" s="103">
        <f>F55-K55</f>
        <v>46.66</v>
      </c>
      <c r="M55" s="108">
        <f t="shared" si="16"/>
        <v>1.2850684261974583</v>
      </c>
      <c r="N55" s="104">
        <f>E55-лютий!E52</f>
        <v>80</v>
      </c>
      <c r="O55" s="142">
        <f>F55-лютий!F52</f>
        <v>136.63</v>
      </c>
      <c r="P55" s="105">
        <f t="shared" si="14"/>
        <v>56.629999999999995</v>
      </c>
      <c r="Q55" s="118">
        <f t="shared" si="11"/>
        <v>170.7875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24.08</v>
      </c>
      <c r="G58" s="33">
        <f t="shared" si="12"/>
        <v>-20.92</v>
      </c>
      <c r="H58" s="29">
        <f t="shared" si="10"/>
        <v>53.511111111111106</v>
      </c>
      <c r="I58" s="103">
        <f t="shared" si="13"/>
        <v>-175.92000000000002</v>
      </c>
      <c r="J58" s="103">
        <f t="shared" si="15"/>
        <v>12.04</v>
      </c>
      <c r="K58" s="103">
        <v>1336.3</v>
      </c>
      <c r="L58" s="103">
        <f>F58-K58</f>
        <v>-1312.22</v>
      </c>
      <c r="M58" s="108">
        <f t="shared" si="16"/>
        <v>0.018019905709795704</v>
      </c>
      <c r="N58" s="104">
        <f>E58-лютий!E55</f>
        <v>15</v>
      </c>
      <c r="O58" s="142">
        <f>F58-лютий!F55</f>
        <v>8.839999999999998</v>
      </c>
      <c r="P58" s="105">
        <f t="shared" si="14"/>
        <v>-6.160000000000002</v>
      </c>
      <c r="Q58" s="118">
        <f t="shared" si="11"/>
        <v>58.933333333333316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3062.95</v>
      </c>
      <c r="G60" s="160">
        <f t="shared" si="12"/>
        <v>2.949999999999818</v>
      </c>
      <c r="H60" s="162">
        <f t="shared" si="10"/>
        <v>100.09640522875816</v>
      </c>
      <c r="I60" s="163">
        <f t="shared" si="13"/>
        <v>-4287.05</v>
      </c>
      <c r="J60" s="163">
        <f t="shared" si="15"/>
        <v>41.67278911564626</v>
      </c>
      <c r="K60" s="163">
        <v>1114.84</v>
      </c>
      <c r="L60" s="163">
        <f aca="true" t="shared" si="17" ref="L60:L66">F60-K60</f>
        <v>1948.11</v>
      </c>
      <c r="M60" s="216">
        <f t="shared" si="16"/>
        <v>2.7474346094506834</v>
      </c>
      <c r="N60" s="162">
        <f>E60-лютий!E57</f>
        <v>860</v>
      </c>
      <c r="O60" s="166">
        <f>F60-лютий!F57</f>
        <v>351.52</v>
      </c>
      <c r="P60" s="165">
        <f t="shared" si="14"/>
        <v>-508.48</v>
      </c>
      <c r="Q60" s="163">
        <f t="shared" si="11"/>
        <v>40.87441860465116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v>418.08</v>
      </c>
      <c r="G62" s="160"/>
      <c r="H62" s="162"/>
      <c r="I62" s="163"/>
      <c r="J62" s="163"/>
      <c r="K62" s="164">
        <v>230.44</v>
      </c>
      <c r="L62" s="163">
        <f t="shared" si="17"/>
        <v>187.64</v>
      </c>
      <c r="M62" s="216">
        <f t="shared" si="16"/>
        <v>1.8142683561881616</v>
      </c>
      <c r="N62" s="193">
        <f>E62-лютий!E59</f>
        <v>0</v>
      </c>
      <c r="O62" s="177">
        <f>F62-лютий!F59</f>
        <v>132.75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30.75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28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291833.39</v>
      </c>
      <c r="G67" s="149">
        <f>F67-E67</f>
        <v>-15023.51000000001</v>
      </c>
      <c r="H67" s="150">
        <f>F67/E67*100</f>
        <v>95.10406642314382</v>
      </c>
      <c r="I67" s="151">
        <f>F67-D67</f>
        <v>-1065657.71</v>
      </c>
      <c r="J67" s="151">
        <f>F67/D67*100</f>
        <v>21.49799656145075</v>
      </c>
      <c r="K67" s="151">
        <v>220465.78</v>
      </c>
      <c r="L67" s="151">
        <f>F67-K67</f>
        <v>71367.61000000002</v>
      </c>
      <c r="M67" s="217">
        <f>F67/K67</f>
        <v>1.3237128682737067</v>
      </c>
      <c r="N67" s="149">
        <f>N8+N41+N65+N66</f>
        <v>102834.8</v>
      </c>
      <c r="O67" s="149">
        <f>O8+O41+O65+O66</f>
        <v>88307.01999999997</v>
      </c>
      <c r="P67" s="153">
        <f>O67-N67</f>
        <v>-14527.780000000028</v>
      </c>
      <c r="Q67" s="151">
        <f>O67/N67*100</f>
        <v>85.87270068109237</v>
      </c>
      <c r="R67" s="26">
        <f>O67-34768</f>
        <v>53539.019999999975</v>
      </c>
      <c r="S67" s="114">
        <f>O67/34768</f>
        <v>2.539893580303727</v>
      </c>
      <c r="T67" s="145">
        <v>89561.4</v>
      </c>
      <c r="U67" s="245">
        <f>O67-T67</f>
        <v>-1254.3800000000192</v>
      </c>
      <c r="V67" s="131">
        <v>293087.8</v>
      </c>
      <c r="W67" s="263">
        <f>F67-V67</f>
        <v>-1254.4099999999744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155.96</v>
      </c>
      <c r="G77" s="160">
        <f t="shared" si="18"/>
        <v>-4674.04</v>
      </c>
      <c r="H77" s="162">
        <f>F77/E77*100</f>
        <v>3.228985507246377</v>
      </c>
      <c r="I77" s="165">
        <f t="shared" si="19"/>
        <v>-53844.04</v>
      </c>
      <c r="J77" s="165">
        <f>F77/D77*100</f>
        <v>0.28881481481481486</v>
      </c>
      <c r="K77" s="165">
        <v>318.64</v>
      </c>
      <c r="L77" s="165">
        <f t="shared" si="20"/>
        <v>-162.67999999999998</v>
      </c>
      <c r="M77" s="207">
        <f>F77/K77</f>
        <v>0.48945518453427067</v>
      </c>
      <c r="N77" s="162">
        <f>E77-лютий!E74</f>
        <v>3600</v>
      </c>
      <c r="O77" s="166">
        <f>F77-лютий!F74</f>
        <v>107.62</v>
      </c>
      <c r="P77" s="165">
        <f t="shared" si="21"/>
        <v>-3492.38</v>
      </c>
      <c r="Q77" s="165">
        <f>O77/N77*100</f>
        <v>2.9894444444444446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1373.31</v>
      </c>
      <c r="G80" s="183">
        <f t="shared" si="18"/>
        <v>-8109.6900000000005</v>
      </c>
      <c r="H80" s="184">
        <f>F80/E80*100</f>
        <v>14.481809553938627</v>
      </c>
      <c r="I80" s="185">
        <f t="shared" si="19"/>
        <v>-235844.72</v>
      </c>
      <c r="J80" s="185">
        <f>F80/D80*100</f>
        <v>0.5789231113672093</v>
      </c>
      <c r="K80" s="185">
        <v>8278.87</v>
      </c>
      <c r="L80" s="185">
        <f t="shared" si="20"/>
        <v>-6905.560000000001</v>
      </c>
      <c r="M80" s="212">
        <f>F80/K80</f>
        <v>0.16588133404679622</v>
      </c>
      <c r="N80" s="183">
        <f>N76+N77+N78+N79</f>
        <v>7451</v>
      </c>
      <c r="O80" s="187">
        <f>O76+O77+O78+O79</f>
        <v>220.31000000000012</v>
      </c>
      <c r="P80" s="185">
        <f t="shared" si="21"/>
        <v>-7230.69</v>
      </c>
      <c r="Q80" s="185">
        <f>O80/N80*100</f>
        <v>2.95678432425178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3642.77</v>
      </c>
      <c r="G88" s="190">
        <f>F88-E88</f>
        <v>-8209.93</v>
      </c>
      <c r="H88" s="191">
        <f>F88/E88*100</f>
        <v>30.733672496561965</v>
      </c>
      <c r="I88" s="192">
        <f>F88-D88</f>
        <v>-242013.26</v>
      </c>
      <c r="J88" s="192">
        <f>F88/D88*100</f>
        <v>1.4828742449350827</v>
      </c>
      <c r="K88" s="192">
        <v>10307.64</v>
      </c>
      <c r="L88" s="192">
        <f>F88-K88</f>
        <v>-6664.869999999999</v>
      </c>
      <c r="M88" s="219">
        <f t="shared" si="22"/>
        <v>0.35340485309925457</v>
      </c>
      <c r="N88" s="189">
        <f>N74+N86+N80+N85+N87</f>
        <v>7465.8</v>
      </c>
      <c r="O88" s="189">
        <f>O74+O86+O80+O85+O87</f>
        <v>236.0999999999999</v>
      </c>
      <c r="P88" s="192">
        <f t="shared" si="21"/>
        <v>-7229.700000000001</v>
      </c>
      <c r="Q88" s="192">
        <f>O88/N88*100</f>
        <v>3.1624206381097792</v>
      </c>
      <c r="R88" s="26">
        <f>O88-8104.96</f>
        <v>-7868.860000000001</v>
      </c>
      <c r="S88" s="94">
        <f>O88/8104.96</f>
        <v>0.029130310328490196</v>
      </c>
    </row>
    <row r="89" spans="2:19" ht="17.25">
      <c r="B89" s="21" t="s">
        <v>32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295476.16000000003</v>
      </c>
      <c r="G89" s="190">
        <f>F89-E89</f>
        <v>-23233.440000000002</v>
      </c>
      <c r="H89" s="191">
        <f>F89/E89*100</f>
        <v>92.71015369477418</v>
      </c>
      <c r="I89" s="192">
        <f>F89-D89</f>
        <v>-1307670.9700000002</v>
      </c>
      <c r="J89" s="192">
        <f>F89/D89*100</f>
        <v>18.431007015556958</v>
      </c>
      <c r="K89" s="192">
        <f>K67+K88</f>
        <v>230773.41999999998</v>
      </c>
      <c r="L89" s="192">
        <f>F89-K89</f>
        <v>64702.74000000005</v>
      </c>
      <c r="M89" s="219">
        <f t="shared" si="22"/>
        <v>1.2803734502872994</v>
      </c>
      <c r="N89" s="190">
        <f>N67+N88</f>
        <v>110300.6</v>
      </c>
      <c r="O89" s="190">
        <f>O67+O88</f>
        <v>88543.11999999998</v>
      </c>
      <c r="P89" s="192">
        <f t="shared" si="21"/>
        <v>-21757.480000000025</v>
      </c>
      <c r="Q89" s="192">
        <f>O89/N89*100</f>
        <v>80.27437747392125</v>
      </c>
      <c r="R89" s="26">
        <f>O89-42872.96</f>
        <v>45670.15999999998</v>
      </c>
      <c r="S89" s="94">
        <f>O89/42872.96</f>
        <v>2.0652439206436872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2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7263.890000000014</v>
      </c>
      <c r="D92" s="4" t="s">
        <v>24</v>
      </c>
      <c r="G92" s="304"/>
      <c r="H92" s="304"/>
      <c r="I92" s="304"/>
      <c r="J92" s="304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42823</v>
      </c>
      <c r="D93" s="28">
        <v>8830.3</v>
      </c>
      <c r="G93" s="4" t="s">
        <v>58</v>
      </c>
      <c r="O93" s="305"/>
      <c r="P93" s="305"/>
    </row>
    <row r="94" spans="3:16" ht="15">
      <c r="C94" s="80">
        <v>42822</v>
      </c>
      <c r="D94" s="28">
        <v>3870.2</v>
      </c>
      <c r="F94" s="112" t="s">
        <v>58</v>
      </c>
      <c r="G94" s="306"/>
      <c r="H94" s="306"/>
      <c r="I94" s="117"/>
      <c r="J94" s="307"/>
      <c r="K94" s="307"/>
      <c r="L94" s="307"/>
      <c r="M94" s="307"/>
      <c r="N94" s="307"/>
      <c r="O94" s="305"/>
      <c r="P94" s="305"/>
    </row>
    <row r="95" spans="3:16" ht="15.75" customHeight="1">
      <c r="C95" s="80">
        <v>42821</v>
      </c>
      <c r="D95" s="28">
        <v>2119.1</v>
      </c>
      <c r="F95" s="67"/>
      <c r="G95" s="306"/>
      <c r="H95" s="306"/>
      <c r="I95" s="117"/>
      <c r="J95" s="308"/>
      <c r="K95" s="308"/>
      <c r="L95" s="308"/>
      <c r="M95" s="308"/>
      <c r="N95" s="308"/>
      <c r="O95" s="305"/>
      <c r="P95" s="305"/>
    </row>
    <row r="96" spans="3:14" ht="15.75" customHeight="1">
      <c r="C96" s="80"/>
      <c r="F96" s="67"/>
      <c r="G96" s="312"/>
      <c r="H96" s="312"/>
      <c r="I96" s="123"/>
      <c r="J96" s="307"/>
      <c r="K96" s="307"/>
      <c r="L96" s="307"/>
      <c r="M96" s="307"/>
      <c r="N96" s="307"/>
    </row>
    <row r="97" spans="2:14" ht="18.75" customHeight="1">
      <c r="B97" s="313" t="s">
        <v>56</v>
      </c>
      <c r="C97" s="314"/>
      <c r="D97" s="132">
        <v>1573.51078</v>
      </c>
      <c r="E97" s="68"/>
      <c r="F97" s="124" t="s">
        <v>105</v>
      </c>
      <c r="G97" s="306"/>
      <c r="H97" s="306"/>
      <c r="I97" s="125"/>
      <c r="J97" s="307"/>
      <c r="K97" s="307"/>
      <c r="L97" s="307"/>
      <c r="M97" s="307"/>
      <c r="N97" s="307"/>
    </row>
    <row r="98" spans="6:13" ht="9.75" customHeight="1">
      <c r="F98" s="67"/>
      <c r="G98" s="306"/>
      <c r="H98" s="306"/>
      <c r="I98" s="67"/>
      <c r="J98" s="68"/>
      <c r="K98" s="68"/>
      <c r="L98" s="68"/>
      <c r="M98" s="68"/>
    </row>
    <row r="99" spans="2:13" ht="22.5" customHeight="1" hidden="1">
      <c r="B99" s="309" t="s">
        <v>59</v>
      </c>
      <c r="C99" s="310"/>
      <c r="D99" s="79">
        <v>0</v>
      </c>
      <c r="E99" s="50" t="s">
        <v>24</v>
      </c>
      <c r="F99" s="67"/>
      <c r="G99" s="306"/>
      <c r="H99" s="306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422.4</v>
      </c>
      <c r="G100" s="67">
        <f>G48+G51+G52</f>
        <v>64.4</v>
      </c>
      <c r="H100" s="68"/>
      <c r="I100" s="68"/>
      <c r="N100" s="28">
        <f>N48+N51+N52</f>
        <v>186</v>
      </c>
      <c r="O100" s="200">
        <f>O48+O51+O52</f>
        <v>139.57000000000002</v>
      </c>
      <c r="P100" s="28">
        <f>P48+P51+P52</f>
        <v>-46.42999999999998</v>
      </c>
    </row>
    <row r="101" spans="4:16" ht="15" hidden="1">
      <c r="D101" s="77"/>
      <c r="I101" s="28"/>
      <c r="O101" s="311"/>
      <c r="P101" s="31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277993.19</v>
      </c>
      <c r="G102" s="28">
        <f>F102-E102</f>
        <v>-14632.51000000001</v>
      </c>
      <c r="H102" s="228">
        <f>F102/E102</f>
        <v>0.9499958137648197</v>
      </c>
      <c r="I102" s="28">
        <f>F102-D102</f>
        <v>-1021055.4100000001</v>
      </c>
      <c r="J102" s="228">
        <f>F102/D102</f>
        <v>0.21399752865289257</v>
      </c>
      <c r="N102" s="28">
        <f>N9+N15+N17+N18+N19+N23+N42+N45+N65+N59</f>
        <v>96295.2</v>
      </c>
      <c r="O102" s="227">
        <f>O9+O15+O17+O18+O19+O23+O42+O45+O65+O59</f>
        <v>83140.23999999998</v>
      </c>
      <c r="P102" s="28">
        <f>O102-N102</f>
        <v>-13154.960000000021</v>
      </c>
      <c r="Q102" s="228">
        <f>O102/N102</f>
        <v>0.8633892447390937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13840.2</v>
      </c>
      <c r="G103" s="28">
        <f>G43+G44+G46+G48+G50+G51+G52+G53+G54+G60+G64+G47</f>
        <v>-385.67000000000013</v>
      </c>
      <c r="H103" s="228">
        <f>F103/E103</f>
        <v>0.972525155995278</v>
      </c>
      <c r="I103" s="28">
        <f>I43+I44+I46+I48+I50+I51+I52+I53+I54+I60+I64+I47</f>
        <v>-44596.97</v>
      </c>
      <c r="J103" s="228">
        <f>F103/D103</f>
        <v>0.23681738460880353</v>
      </c>
      <c r="K103" s="28">
        <f aca="true" t="shared" si="23" ref="K103:P103">K43+K44+K46+K48+K50+K51+K52+K53+K54+K60+K64+K47</f>
        <v>10575.08</v>
      </c>
      <c r="L103" s="28">
        <f t="shared" si="23"/>
        <v>3270.4500000000007</v>
      </c>
      <c r="M103" s="28">
        <f t="shared" si="23"/>
        <v>21.800376479967966</v>
      </c>
      <c r="N103" s="28">
        <f>N43+N44+N46+N48+N50+N51+N52+N53+N54+N60+N64+N47+N66</f>
        <v>6539.6</v>
      </c>
      <c r="O103" s="227">
        <f>O43+O44+O46+O48+O50+O51+O52+O53+O54+O60+O64+O47+O66</f>
        <v>5166.780000000001</v>
      </c>
      <c r="P103" s="28">
        <f t="shared" si="23"/>
        <v>-1372.82</v>
      </c>
      <c r="Q103" s="228">
        <f>O103/N103</f>
        <v>0.790075845617469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291833.39</v>
      </c>
      <c r="G104" s="28">
        <f aca="true" t="shared" si="24" ref="G104:P104">SUM(G102:G103)</f>
        <v>-15018.18000000001</v>
      </c>
      <c r="H104" s="228">
        <f>F104/E104</f>
        <v>0.9510406642314382</v>
      </c>
      <c r="I104" s="28">
        <f t="shared" si="24"/>
        <v>-1065652.3800000001</v>
      </c>
      <c r="J104" s="228">
        <f>F104/D104</f>
        <v>0.21497996561450752</v>
      </c>
      <c r="K104" s="28">
        <f t="shared" si="24"/>
        <v>10575.08</v>
      </c>
      <c r="L104" s="28">
        <f t="shared" si="24"/>
        <v>3270.4500000000007</v>
      </c>
      <c r="M104" s="28">
        <f t="shared" si="24"/>
        <v>21.800376479967966</v>
      </c>
      <c r="N104" s="28">
        <f t="shared" si="24"/>
        <v>102834.8</v>
      </c>
      <c r="O104" s="227">
        <f t="shared" si="24"/>
        <v>88307.01999999997</v>
      </c>
      <c r="P104" s="28">
        <f t="shared" si="24"/>
        <v>-14527.78000000002</v>
      </c>
      <c r="Q104" s="228">
        <f>O104/N104</f>
        <v>0.8587270068109236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-5.329999999999927</v>
      </c>
      <c r="H105" s="228"/>
      <c r="I105" s="28">
        <f t="shared" si="25"/>
        <v>-5.329999999841675</v>
      </c>
      <c r="J105" s="228"/>
      <c r="K105" s="28">
        <f t="shared" si="25"/>
        <v>209890.7</v>
      </c>
      <c r="L105" s="28">
        <f t="shared" si="25"/>
        <v>68097.16000000002</v>
      </c>
      <c r="M105" s="28">
        <f t="shared" si="25"/>
        <v>-20.47666361169426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53539.019999999975</v>
      </c>
      <c r="S105" s="28">
        <f t="shared" si="25"/>
        <v>2.539893580303727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154</v>
      </c>
      <c r="E107" s="28">
        <f>E67-E9-E20-E29-E35</f>
        <v>19583.200000000026</v>
      </c>
    </row>
    <row r="108" spans="2:5" ht="15" hidden="1">
      <c r="B108" s="242" t="s">
        <v>155</v>
      </c>
      <c r="E108" s="28">
        <f>E88-E83-E76-E77</f>
        <v>4666.4000000000015</v>
      </c>
    </row>
    <row r="109" ht="15" hidden="1"/>
    <row r="110" spans="2:23" ht="18" hidden="1">
      <c r="B110" s="121" t="s">
        <v>146</v>
      </c>
      <c r="C110" s="42">
        <v>25000000</v>
      </c>
      <c r="D110" s="178">
        <v>72408.22</v>
      </c>
      <c r="E110" s="178">
        <v>18102.06</v>
      </c>
      <c r="F110" s="179">
        <v>19885.83</v>
      </c>
      <c r="G110" s="160">
        <f>F110-E110</f>
        <v>1783.7700000000004</v>
      </c>
      <c r="H110" s="162">
        <f>F110/E110*100</f>
        <v>109.8539613723521</v>
      </c>
      <c r="I110" s="165">
        <f>F110-D110</f>
        <v>-52522.39</v>
      </c>
      <c r="J110" s="165">
        <f>F110/D110*100</f>
        <v>27.463497928826314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 aca="true" t="shared" si="26" ref="T110:T116"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23528.600000000002</v>
      </c>
      <c r="G111" s="190">
        <f>F111-E111</f>
        <v>-6426.16</v>
      </c>
      <c r="H111" s="191">
        <f>F111/E111*100</f>
        <v>78.54711571716815</v>
      </c>
      <c r="I111" s="192">
        <f>F111-D111</f>
        <v>-294535.65</v>
      </c>
      <c r="J111" s="192">
        <f>F111/D111*100</f>
        <v>7.397436209822388</v>
      </c>
      <c r="K111" s="192">
        <v>3039.87</v>
      </c>
      <c r="L111" s="192">
        <f>F111-K111</f>
        <v>20488.730000000003</v>
      </c>
      <c r="M111" s="267">
        <f>F111/K111</f>
        <v>7.7400020395609035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 t="shared" si="26"/>
        <v>288109.49</v>
      </c>
      <c r="U111" s="4"/>
      <c r="V111" s="4"/>
      <c r="W111" s="4"/>
    </row>
    <row r="112" spans="2:23" ht="17.25" hidden="1">
      <c r="B112" s="21" t="s">
        <v>32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315361.99</v>
      </c>
      <c r="G112" s="190">
        <f>F112-E112</f>
        <v>-21449.670000000042</v>
      </c>
      <c r="H112" s="191">
        <f>F112/E112*100</f>
        <v>93.63155361070336</v>
      </c>
      <c r="I112" s="192">
        <f>F112-D112</f>
        <v>-1360193.36</v>
      </c>
      <c r="J112" s="192">
        <f>F112/D112*100</f>
        <v>18.82134123471361</v>
      </c>
      <c r="K112" s="192">
        <f>K89+K111</f>
        <v>233813.28999999998</v>
      </c>
      <c r="L112" s="192">
        <f>F112-K112</f>
        <v>81548.70000000001</v>
      </c>
      <c r="M112" s="267">
        <f>F112/K112</f>
        <v>1.3487770092110676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 t="shared" si="26"/>
        <v>1338743.69</v>
      </c>
      <c r="U112" s="4"/>
      <c r="V112" s="4"/>
      <c r="W112" s="4"/>
    </row>
    <row r="113" spans="2:23" ht="15" hidden="1">
      <c r="B113" s="20" t="s">
        <v>34</v>
      </c>
      <c r="O113" s="25"/>
      <c r="T113" s="145">
        <f t="shared" si="26"/>
        <v>0</v>
      </c>
      <c r="U113" s="4"/>
      <c r="V113" s="4"/>
      <c r="W113" s="4"/>
    </row>
    <row r="114" spans="2:23" ht="15" hidden="1">
      <c r="B114" s="4" t="s">
        <v>36</v>
      </c>
      <c r="C114" s="75">
        <v>0</v>
      </c>
      <c r="D114" s="4" t="s">
        <v>35</v>
      </c>
      <c r="O114" s="77"/>
      <c r="T114" s="145" t="e">
        <f t="shared" si="26"/>
        <v>#VALUE!</v>
      </c>
      <c r="U114" s="4"/>
      <c r="V114" s="4"/>
      <c r="W114" s="4"/>
    </row>
    <row r="115" spans="2:23" ht="30.75" hidden="1">
      <c r="B115" s="51" t="s">
        <v>53</v>
      </c>
      <c r="C115" s="28" t="e">
        <f>IF(P89&lt;0,ABS(P89/C114),0)</f>
        <v>#DIV/0!</v>
      </c>
      <c r="D115" s="4" t="s">
        <v>24</v>
      </c>
      <c r="G115" s="304"/>
      <c r="H115" s="304"/>
      <c r="I115" s="304"/>
      <c r="J115" s="304"/>
      <c r="K115" s="83"/>
      <c r="L115" s="83"/>
      <c r="M115" s="83"/>
      <c r="Q115" s="25"/>
      <c r="R115" s="25"/>
      <c r="T115" s="145" t="e">
        <f t="shared" si="26"/>
        <v>#VALUE!</v>
      </c>
      <c r="U115" s="4"/>
      <c r="V115" s="4"/>
      <c r="W115" s="4"/>
    </row>
    <row r="116" spans="2:23" ht="34.5" customHeight="1" hidden="1">
      <c r="B116" s="52" t="s">
        <v>55</v>
      </c>
      <c r="C116" s="80">
        <v>42794</v>
      </c>
      <c r="D116" s="28">
        <v>11703.5</v>
      </c>
      <c r="G116" s="4" t="s">
        <v>58</v>
      </c>
      <c r="O116" s="305"/>
      <c r="P116" s="305"/>
      <c r="T116" s="145">
        <f t="shared" si="26"/>
        <v>11703.5</v>
      </c>
      <c r="U116" s="4"/>
      <c r="V116" s="4"/>
      <c r="W116" s="4"/>
    </row>
    <row r="117" spans="3:23" ht="15" hidden="1">
      <c r="C117" s="80">
        <v>42793</v>
      </c>
      <c r="D117" s="28">
        <v>10341.3</v>
      </c>
      <c r="F117" s="112" t="s">
        <v>58</v>
      </c>
      <c r="G117" s="306"/>
      <c r="H117" s="306"/>
      <c r="I117" s="117"/>
      <c r="J117" s="307"/>
      <c r="K117" s="307"/>
      <c r="L117" s="307"/>
      <c r="M117" s="307"/>
      <c r="N117" s="307"/>
      <c r="O117" s="305"/>
      <c r="P117" s="305"/>
      <c r="T117" s="4"/>
      <c r="U117" s="4"/>
      <c r="V117" s="4"/>
      <c r="W117" s="4"/>
    </row>
    <row r="118" spans="3:23" ht="15.75" customHeight="1" hidden="1">
      <c r="C118" s="80">
        <v>42790</v>
      </c>
      <c r="D118" s="28">
        <v>4206.9</v>
      </c>
      <c r="F118" s="67"/>
      <c r="G118" s="306"/>
      <c r="H118" s="306"/>
      <c r="I118" s="117"/>
      <c r="J118" s="308"/>
      <c r="K118" s="308"/>
      <c r="L118" s="308"/>
      <c r="M118" s="308"/>
      <c r="N118" s="308"/>
      <c r="O118" s="305"/>
      <c r="P118" s="305"/>
      <c r="T118" s="4"/>
      <c r="U118" s="4"/>
      <c r="V118" s="4"/>
      <c r="W118" s="4"/>
    </row>
    <row r="119" spans="3:23" ht="15.75" customHeight="1" hidden="1">
      <c r="C119" s="80"/>
      <c r="F119" s="67"/>
      <c r="G119" s="312"/>
      <c r="H119" s="312"/>
      <c r="I119" s="123"/>
      <c r="J119" s="307"/>
      <c r="K119" s="307"/>
      <c r="L119" s="307"/>
      <c r="M119" s="307"/>
      <c r="N119" s="307"/>
      <c r="T119" s="4"/>
      <c r="U119" s="4"/>
      <c r="V119" s="4"/>
      <c r="W119" s="4"/>
    </row>
    <row r="120" spans="2:23" ht="18.75" customHeight="1" hidden="1">
      <c r="B120" s="313" t="s">
        <v>56</v>
      </c>
      <c r="C120" s="314"/>
      <c r="D120" s="132">
        <v>7713.34596</v>
      </c>
      <c r="E120" s="68"/>
      <c r="F120" s="124" t="s">
        <v>105</v>
      </c>
      <c r="G120" s="306"/>
      <c r="H120" s="306"/>
      <c r="I120" s="125"/>
      <c r="J120" s="307"/>
      <c r="K120" s="307"/>
      <c r="L120" s="307"/>
      <c r="M120" s="307"/>
      <c r="N120" s="307"/>
      <c r="T120" s="4"/>
      <c r="U120" s="4"/>
      <c r="V120" s="4"/>
      <c r="W120" s="4"/>
    </row>
    <row r="121" spans="6:23" ht="9.75" customHeight="1" hidden="1">
      <c r="F121" s="67"/>
      <c r="G121" s="306"/>
      <c r="H121" s="306"/>
      <c r="I121" s="67"/>
      <c r="J121" s="68"/>
      <c r="K121" s="68"/>
      <c r="L121" s="68"/>
      <c r="M121" s="68"/>
      <c r="T121" s="4"/>
      <c r="U121" s="4"/>
      <c r="V121" s="4"/>
      <c r="W121" s="4"/>
    </row>
    <row r="122" spans="2:23" ht="22.5" customHeight="1" hidden="1">
      <c r="B122" s="309" t="s">
        <v>59</v>
      </c>
      <c r="C122" s="310"/>
      <c r="D122" s="79">
        <v>0</v>
      </c>
      <c r="E122" s="50" t="s">
        <v>24</v>
      </c>
      <c r="F122" s="67"/>
      <c r="G122" s="306"/>
      <c r="H122" s="306"/>
      <c r="I122" s="67"/>
      <c r="J122" s="68"/>
      <c r="K122" s="68"/>
      <c r="L122" s="68"/>
      <c r="M122" s="68"/>
      <c r="T122" s="4"/>
      <c r="U122" s="4"/>
      <c r="V122" s="4"/>
      <c r="W122" s="4"/>
    </row>
    <row r="123" spans="4:23" ht="15" hidden="1">
      <c r="D123" s="67">
        <f>D70+D73+D74</f>
        <v>0</v>
      </c>
      <c r="E123" s="67">
        <f>E70+E73+E74</f>
        <v>0</v>
      </c>
      <c r="F123" s="201">
        <f>F70+F73+F74</f>
        <v>0.01</v>
      </c>
      <c r="G123" s="67">
        <f>G70+G73+G74</f>
        <v>0.01</v>
      </c>
      <c r="H123" s="68"/>
      <c r="I123" s="68"/>
      <c r="N123" s="28">
        <f>N70+N73+N74</f>
        <v>0</v>
      </c>
      <c r="O123" s="200">
        <f>O70+O73+O74</f>
        <v>0</v>
      </c>
      <c r="P123" s="28">
        <f>P70+P73+P74</f>
        <v>0</v>
      </c>
      <c r="T123" s="4"/>
      <c r="U123" s="4"/>
      <c r="V123" s="4"/>
      <c r="W123" s="4"/>
    </row>
    <row r="124" spans="4:23" ht="15" hidden="1">
      <c r="D124" s="77"/>
      <c r="I124" s="28"/>
      <c r="O124" s="311"/>
      <c r="P124" s="311"/>
      <c r="T124" s="4"/>
      <c r="U124" s="4"/>
      <c r="V124" s="4"/>
      <c r="W124" s="4"/>
    </row>
    <row r="125" spans="2:23" ht="15" hidden="1">
      <c r="B125" s="4" t="s">
        <v>116</v>
      </c>
      <c r="D125" s="28">
        <f>D34+D40+D42+D43+D44+D45+D64+D67+D81+D87+D88</f>
        <v>1633967.1300000001</v>
      </c>
      <c r="E125" s="28">
        <f>E34+E40+E42+E43+E44+E45+E64+E67+E81+E87+E88</f>
        <v>324119.10000000003</v>
      </c>
      <c r="F125" s="227">
        <f>F34+F40+F42+F43+F44+F45+F64+F67+F81+F87+F88</f>
        <v>300118.63000000006</v>
      </c>
      <c r="G125" s="28">
        <f>F125-E125</f>
        <v>-24000.469999999972</v>
      </c>
      <c r="H125" s="228">
        <f>F125/E125</f>
        <v>0.9259516949170846</v>
      </c>
      <c r="I125" s="28">
        <f>F125-D125</f>
        <v>-1333848.5</v>
      </c>
      <c r="J125" s="228">
        <f>F125/D125</f>
        <v>0.18367482704502142</v>
      </c>
      <c r="N125" s="28">
        <f>N34+N40+N42+N43+N44+N45+N64+N67+N69+N81+N87+N88</f>
        <v>113104.1</v>
      </c>
      <c r="O125" s="227">
        <f>O34+O40+O42+O43+O44+O45+O64+O67+O69+O81+O87+O88</f>
        <v>90943.40999999999</v>
      </c>
      <c r="P125" s="28">
        <f>O125-N125</f>
        <v>-22160.690000000017</v>
      </c>
      <c r="Q125" s="228">
        <f>O125/N125</f>
        <v>0.8040681991192183</v>
      </c>
      <c r="T125" s="4"/>
      <c r="U125" s="4"/>
      <c r="V125" s="4"/>
      <c r="W125" s="4"/>
    </row>
    <row r="126" spans="2:23" ht="15" hidden="1">
      <c r="B126" s="4" t="s">
        <v>117</v>
      </c>
      <c r="D126" s="28">
        <f>D65+D66+D68+D70+D72+D73+D74+D75+D76+D82+D86+D69</f>
        <v>104259.03</v>
      </c>
      <c r="E126" s="28">
        <f>E65+E66+E68+E70+E72+E73+E74+E75+E76+E82+E86+E69</f>
        <v>16.6</v>
      </c>
      <c r="F126" s="227">
        <f>F65+F66+F68+F70+F72+F73+F74+F75+F76+F82+F86+F69</f>
        <v>16.189999999999998</v>
      </c>
      <c r="G126" s="28" t="e">
        <f>G65+G66+G68+G70+G72+G73+G74+G75+G76+G82+G86+G69</f>
        <v>#N/A</v>
      </c>
      <c r="H126" s="228">
        <f>F126/E126</f>
        <v>0.9753012048192768</v>
      </c>
      <c r="I126" s="28" t="e">
        <f>I65+I66+I68+I70+I72+I73+I74+I75+I76+I82+I86+I69</f>
        <v>#N/A</v>
      </c>
      <c r="J126" s="228">
        <f>F126/D126</f>
        <v>0.00015528630949280842</v>
      </c>
      <c r="K126" s="28">
        <f aca="true" t="shared" si="27" ref="K126:P126">K65+K66+K68+K70+K72+K73+K74+K75+K76+K82+K86+K69</f>
        <v>-40.84</v>
      </c>
      <c r="L126" s="28">
        <f t="shared" si="27"/>
        <v>57.03</v>
      </c>
      <c r="M126" s="28" t="e">
        <f t="shared" si="27"/>
        <v>#DIV/0!</v>
      </c>
      <c r="N126" s="28">
        <f t="shared" si="27"/>
        <v>9.2</v>
      </c>
      <c r="O126" s="227">
        <f t="shared" si="27"/>
        <v>11.870000000000001</v>
      </c>
      <c r="P126" s="28" t="e">
        <f t="shared" si="27"/>
        <v>#N/A</v>
      </c>
      <c r="Q126" s="228">
        <f>O126/N126</f>
        <v>1.290217391304348</v>
      </c>
      <c r="T126" s="4"/>
      <c r="U126" s="4"/>
      <c r="V126" s="4"/>
      <c r="W126" s="4"/>
    </row>
    <row r="127" spans="2:23" ht="15" hidden="1">
      <c r="B127" s="4" t="s">
        <v>118</v>
      </c>
      <c r="D127" s="28">
        <f>SUM(D125:D126)</f>
        <v>1738226.1600000001</v>
      </c>
      <c r="E127" s="28">
        <f aca="true" t="shared" si="28" ref="E127:P127">SUM(E125:E126)</f>
        <v>324135.7</v>
      </c>
      <c r="F127" s="227">
        <f t="shared" si="28"/>
        <v>300134.82000000007</v>
      </c>
      <c r="G127" s="28" t="e">
        <f t="shared" si="28"/>
        <v>#N/A</v>
      </c>
      <c r="H127" s="228">
        <f>F127/E127</f>
        <v>0.9259542222593811</v>
      </c>
      <c r="I127" s="28" t="e">
        <f t="shared" si="28"/>
        <v>#N/A</v>
      </c>
      <c r="J127" s="228">
        <f>F127/D127</f>
        <v>0.17266730124462057</v>
      </c>
      <c r="K127" s="28">
        <f t="shared" si="28"/>
        <v>-40.84</v>
      </c>
      <c r="L127" s="28">
        <f t="shared" si="28"/>
        <v>57.03</v>
      </c>
      <c r="M127" s="28" t="e">
        <f t="shared" si="28"/>
        <v>#DIV/0!</v>
      </c>
      <c r="N127" s="28">
        <f t="shared" si="28"/>
        <v>113113.3</v>
      </c>
      <c r="O127" s="227">
        <f t="shared" si="28"/>
        <v>90955.27999999998</v>
      </c>
      <c r="P127" s="28" t="e">
        <f t="shared" si="28"/>
        <v>#N/A</v>
      </c>
      <c r="Q127" s="228">
        <f>O127/N127</f>
        <v>0.8041077397618139</v>
      </c>
      <c r="T127" s="4"/>
      <c r="U127" s="4"/>
      <c r="V127" s="4"/>
      <c r="W127" s="4"/>
    </row>
    <row r="128" spans="4:23" ht="15" hidden="1">
      <c r="D128" s="28">
        <f>D89-D127</f>
        <v>-135079.03000000003</v>
      </c>
      <c r="E128" s="28">
        <f aca="true" t="shared" si="29" ref="E128:U128">E89-E127</f>
        <v>-5426.099999999977</v>
      </c>
      <c r="F128" s="28">
        <f t="shared" si="29"/>
        <v>-4658.660000000033</v>
      </c>
      <c r="G128" s="28" t="e">
        <f t="shared" si="29"/>
        <v>#N/A</v>
      </c>
      <c r="H128" s="228"/>
      <c r="I128" s="28" t="e">
        <f t="shared" si="29"/>
        <v>#N/A</v>
      </c>
      <c r="J128" s="228"/>
      <c r="K128" s="28">
        <f t="shared" si="29"/>
        <v>230814.25999999998</v>
      </c>
      <c r="L128" s="28">
        <f t="shared" si="29"/>
        <v>64645.71000000005</v>
      </c>
      <c r="M128" s="28" t="e">
        <f t="shared" si="29"/>
        <v>#DIV/0!</v>
      </c>
      <c r="N128" s="28">
        <f t="shared" si="29"/>
        <v>-2812.699999999997</v>
      </c>
      <c r="O128" s="28">
        <f t="shared" si="29"/>
        <v>-2412.1600000000035</v>
      </c>
      <c r="P128" s="28" t="e">
        <f t="shared" si="29"/>
        <v>#N/A</v>
      </c>
      <c r="Q128" s="28"/>
      <c r="R128" s="28">
        <f t="shared" si="29"/>
        <v>45670.15999999998</v>
      </c>
      <c r="S128" s="28">
        <f t="shared" si="29"/>
        <v>2.0652439206436872</v>
      </c>
      <c r="T128" s="28">
        <f t="shared" si="29"/>
        <v>0</v>
      </c>
      <c r="U128" s="28">
        <f t="shared" si="29"/>
        <v>0</v>
      </c>
      <c r="V128" s="4"/>
      <c r="W128" s="4"/>
    </row>
    <row r="129" spans="2:23" ht="15" hidden="1">
      <c r="B129" s="238" t="s">
        <v>142</v>
      </c>
      <c r="C129" s="236">
        <v>40000000</v>
      </c>
      <c r="D129" s="241">
        <v>1222868.69</v>
      </c>
      <c r="E129" s="241">
        <v>528655.6</v>
      </c>
      <c r="F129" s="241">
        <v>531757.88</v>
      </c>
      <c r="G129" s="241">
        <f aca="true" t="shared" si="30" ref="G129:G139">F129-E129</f>
        <v>3102.280000000028</v>
      </c>
      <c r="H129" s="241">
        <f>F129/E129*100</f>
        <v>100.58682439001876</v>
      </c>
      <c r="I129" s="35">
        <f aca="true" t="shared" si="31" ref="I129:I139">F129-D129</f>
        <v>-691110.8099999999</v>
      </c>
      <c r="J129" s="35">
        <f>F129/D129*100</f>
        <v>43.48446275127054</v>
      </c>
      <c r="Q129" s="88"/>
      <c r="S129" s="4"/>
      <c r="T129" s="4"/>
      <c r="U129" s="4"/>
      <c r="V129" s="4"/>
      <c r="W129" s="4"/>
    </row>
    <row r="130" spans="2:23" ht="15" customHeight="1" hidden="1">
      <c r="B130" s="237" t="s">
        <v>143</v>
      </c>
      <c r="C130" s="236">
        <v>41000000</v>
      </c>
      <c r="D130" s="241">
        <v>311813.4</v>
      </c>
      <c r="E130" s="241">
        <v>74842.5</v>
      </c>
      <c r="F130" s="241">
        <v>71108.47</v>
      </c>
      <c r="G130" s="241">
        <f t="shared" si="30"/>
        <v>-3734.029999999999</v>
      </c>
      <c r="H130" s="241">
        <f aca="true" t="shared" si="32" ref="H130:H139">IF(E130=0,0,F130/E130*100)</f>
        <v>95.0108160470321</v>
      </c>
      <c r="I130" s="35">
        <f t="shared" si="31"/>
        <v>-240704.93000000002</v>
      </c>
      <c r="J130" s="35">
        <f aca="true" t="shared" si="33" ref="J130:J139">F130/D130*100</f>
        <v>22.80481531582671</v>
      </c>
      <c r="Q130" s="88"/>
      <c r="S130" s="4"/>
      <c r="T130" s="4"/>
      <c r="U130" s="4"/>
      <c r="V130" s="4"/>
      <c r="W130" s="4"/>
    </row>
    <row r="131" spans="2:23" ht="15" hidden="1">
      <c r="B131" s="237" t="s">
        <v>144</v>
      </c>
      <c r="C131" s="236">
        <v>41030000</v>
      </c>
      <c r="D131" s="241">
        <f>SUM(D132:D138)</f>
        <v>1222868.6900000002</v>
      </c>
      <c r="E131" s="241">
        <f>SUM(E132:E138)</f>
        <v>528655.6</v>
      </c>
      <c r="F131" s="241">
        <f>SUM(F132:F138)</f>
        <v>531757.88</v>
      </c>
      <c r="G131" s="241">
        <f t="shared" si="30"/>
        <v>3102.280000000028</v>
      </c>
      <c r="H131" s="241">
        <f t="shared" si="32"/>
        <v>100.58682439001876</v>
      </c>
      <c r="I131" s="35">
        <f t="shared" si="31"/>
        <v>-691110.8100000002</v>
      </c>
      <c r="J131" s="35">
        <f t="shared" si="33"/>
        <v>43.48446275127053</v>
      </c>
      <c r="Q131" s="88"/>
      <c r="S131" s="4"/>
      <c r="T131" s="4"/>
      <c r="U131" s="4"/>
      <c r="V131" s="4"/>
      <c r="W131" s="4"/>
    </row>
    <row r="132" spans="2:23" ht="63.75" hidden="1">
      <c r="B132" s="237" t="s">
        <v>167</v>
      </c>
      <c r="C132" s="236">
        <v>41030600</v>
      </c>
      <c r="D132" s="241">
        <v>311813.4</v>
      </c>
      <c r="E132" s="241">
        <v>74842.5</v>
      </c>
      <c r="F132" s="241">
        <v>71108.47</v>
      </c>
      <c r="G132" s="241">
        <f t="shared" si="30"/>
        <v>-3734.029999999999</v>
      </c>
      <c r="H132" s="241">
        <f t="shared" si="32"/>
        <v>95.0108160470321</v>
      </c>
      <c r="I132" s="35">
        <f t="shared" si="31"/>
        <v>-240704.93000000002</v>
      </c>
      <c r="J132" s="35">
        <f t="shared" si="33"/>
        <v>22.80481531582671</v>
      </c>
      <c r="Q132" s="88"/>
      <c r="S132" s="4"/>
      <c r="T132" s="4"/>
      <c r="U132" s="4"/>
      <c r="V132" s="4"/>
      <c r="W132" s="4"/>
    </row>
    <row r="133" spans="2:23" ht="63.75" hidden="1">
      <c r="B133" s="237" t="s">
        <v>148</v>
      </c>
      <c r="C133" s="236">
        <v>41030800</v>
      </c>
      <c r="D133" s="241">
        <v>408648.2</v>
      </c>
      <c r="E133" s="241">
        <v>332918.91</v>
      </c>
      <c r="F133" s="241">
        <v>340685.31</v>
      </c>
      <c r="G133" s="241">
        <f t="shared" si="30"/>
        <v>7766.400000000023</v>
      </c>
      <c r="H133" s="241">
        <f t="shared" si="32"/>
        <v>102.33282032552613</v>
      </c>
      <c r="I133" s="35">
        <f t="shared" si="31"/>
        <v>-67962.89000000001</v>
      </c>
      <c r="J133" s="35">
        <f t="shared" si="33"/>
        <v>83.36885125151659</v>
      </c>
      <c r="Q133" s="88"/>
      <c r="S133" s="4"/>
      <c r="T133" s="4"/>
      <c r="U133" s="4"/>
      <c r="V133" s="4"/>
      <c r="W133" s="4"/>
    </row>
    <row r="134" spans="2:23" ht="51.75" hidden="1">
      <c r="B134" s="237" t="s">
        <v>168</v>
      </c>
      <c r="C134" s="236">
        <v>41031000</v>
      </c>
      <c r="D134" s="241">
        <v>227.7</v>
      </c>
      <c r="E134" s="241">
        <v>57</v>
      </c>
      <c r="F134" s="241">
        <v>40.84</v>
      </c>
      <c r="G134" s="241">
        <f t="shared" si="30"/>
        <v>-16.159999999999997</v>
      </c>
      <c r="H134" s="241">
        <f t="shared" si="32"/>
        <v>71.64912280701755</v>
      </c>
      <c r="I134" s="35">
        <f t="shared" si="31"/>
        <v>-186.85999999999999</v>
      </c>
      <c r="J134" s="35">
        <f t="shared" si="33"/>
        <v>17.9358805445762</v>
      </c>
      <c r="Q134" s="88"/>
      <c r="S134" s="4"/>
      <c r="T134" s="4"/>
      <c r="U134" s="4"/>
      <c r="V134" s="4"/>
      <c r="W134" s="4"/>
    </row>
    <row r="135" spans="2:23" ht="26.25" hidden="1">
      <c r="B135" s="237" t="s">
        <v>149</v>
      </c>
      <c r="C135" s="236">
        <v>41033900</v>
      </c>
      <c r="D135" s="241">
        <v>243334.5</v>
      </c>
      <c r="E135" s="241">
        <v>56191.6</v>
      </c>
      <c r="F135" s="241">
        <v>56191.6</v>
      </c>
      <c r="G135" s="241">
        <f t="shared" si="30"/>
        <v>0</v>
      </c>
      <c r="H135" s="241">
        <f t="shared" si="32"/>
        <v>100</v>
      </c>
      <c r="I135" s="35">
        <f t="shared" si="31"/>
        <v>-187142.9</v>
      </c>
      <c r="J135" s="35">
        <f t="shared" si="33"/>
        <v>23.092327639525013</v>
      </c>
      <c r="Q135" s="88"/>
      <c r="S135" s="4"/>
      <c r="T135" s="4"/>
      <c r="U135" s="4"/>
      <c r="V135" s="4"/>
      <c r="W135" s="4"/>
    </row>
    <row r="136" spans="2:23" ht="26.25" hidden="1">
      <c r="B136" s="237" t="s">
        <v>150</v>
      </c>
      <c r="C136" s="236">
        <v>41034200</v>
      </c>
      <c r="D136" s="241">
        <v>238249.5</v>
      </c>
      <c r="E136" s="241">
        <v>59541.9</v>
      </c>
      <c r="F136" s="241">
        <v>59541.9</v>
      </c>
      <c r="G136" s="241">
        <f t="shared" si="30"/>
        <v>0</v>
      </c>
      <c r="H136" s="241">
        <f t="shared" si="32"/>
        <v>100</v>
      </c>
      <c r="I136" s="35">
        <f t="shared" si="31"/>
        <v>-178707.6</v>
      </c>
      <c r="J136" s="35">
        <f t="shared" si="33"/>
        <v>24.991406068008537</v>
      </c>
      <c r="Q136" s="88"/>
      <c r="S136" s="4"/>
      <c r="T136" s="4"/>
      <c r="U136" s="4"/>
      <c r="V136" s="4"/>
      <c r="W136" s="4"/>
    </row>
    <row r="137" spans="2:23" ht="15" hidden="1">
      <c r="B137" s="237" t="s">
        <v>145</v>
      </c>
      <c r="C137" s="236">
        <v>41035000</v>
      </c>
      <c r="D137" s="241">
        <v>16239.09</v>
      </c>
      <c r="E137" s="241">
        <v>4193.79</v>
      </c>
      <c r="F137" s="241">
        <v>3354.08</v>
      </c>
      <c r="G137" s="241">
        <f t="shared" si="30"/>
        <v>-839.71</v>
      </c>
      <c r="H137" s="241">
        <f t="shared" si="32"/>
        <v>79.97729976942097</v>
      </c>
      <c r="I137" s="35">
        <f t="shared" si="31"/>
        <v>-12885.01</v>
      </c>
      <c r="J137" s="35">
        <f t="shared" si="33"/>
        <v>20.654359326784935</v>
      </c>
      <c r="Q137" s="88"/>
      <c r="S137" s="4"/>
      <c r="T137" s="4"/>
      <c r="U137" s="4"/>
      <c r="V137" s="4"/>
      <c r="W137" s="4"/>
    </row>
    <row r="138" spans="2:23" ht="63.75" hidden="1">
      <c r="B138" s="237" t="s">
        <v>169</v>
      </c>
      <c r="C138" s="236">
        <v>41035800</v>
      </c>
      <c r="D138" s="241">
        <v>4356.3</v>
      </c>
      <c r="E138" s="241">
        <v>909.9</v>
      </c>
      <c r="F138" s="241">
        <v>835.68</v>
      </c>
      <c r="G138" s="241">
        <f t="shared" si="30"/>
        <v>-74.22000000000003</v>
      </c>
      <c r="H138" s="241">
        <f t="shared" si="32"/>
        <v>91.84305967688756</v>
      </c>
      <c r="I138" s="35">
        <f t="shared" si="31"/>
        <v>-3520.6200000000003</v>
      </c>
      <c r="J138" s="35">
        <f t="shared" si="33"/>
        <v>19.183251842159628</v>
      </c>
      <c r="Q138" s="88"/>
      <c r="S138" s="4"/>
      <c r="T138" s="4"/>
      <c r="U138" s="4"/>
      <c r="V138" s="4"/>
      <c r="W138" s="4"/>
    </row>
    <row r="139" spans="2:17" s="239" customFormat="1" ht="25.5" customHeight="1" hidden="1">
      <c r="B139" s="273" t="s">
        <v>147</v>
      </c>
      <c r="C139" s="274"/>
      <c r="D139" s="275">
        <f>D112+D129</f>
        <v>2898424.04</v>
      </c>
      <c r="E139" s="275">
        <f>E112+E129</f>
        <v>865467.26</v>
      </c>
      <c r="F139" s="275">
        <f>F112+F129</f>
        <v>847119.87</v>
      </c>
      <c r="G139" s="276">
        <f t="shared" si="30"/>
        <v>-18347.390000000014</v>
      </c>
      <c r="H139" s="275">
        <f t="shared" si="32"/>
        <v>97.88005961080492</v>
      </c>
      <c r="I139" s="277">
        <f t="shared" si="31"/>
        <v>-2051304.17</v>
      </c>
      <c r="J139" s="277">
        <f t="shared" si="33"/>
        <v>29.226912912301128</v>
      </c>
      <c r="Q139" s="240"/>
    </row>
  </sheetData>
  <sheetProtection/>
  <mergeCells count="54">
    <mergeCell ref="B122:C122"/>
    <mergeCell ref="G122:H122"/>
    <mergeCell ref="O124:P124"/>
    <mergeCell ref="G119:H119"/>
    <mergeCell ref="J119:N119"/>
    <mergeCell ref="B120:C120"/>
    <mergeCell ref="G120:H120"/>
    <mergeCell ref="J120:N120"/>
    <mergeCell ref="G121:H121"/>
    <mergeCell ref="G115:J115"/>
    <mergeCell ref="O116:P116"/>
    <mergeCell ref="G117:H117"/>
    <mergeCell ref="J117:N117"/>
    <mergeCell ref="O117:P117"/>
    <mergeCell ref="G118:H118"/>
    <mergeCell ref="J118:N118"/>
    <mergeCell ref="O118:P118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6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2" sqref="G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78" t="s">
        <v>139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85"/>
      <c r="S1" s="86"/>
    </row>
    <row r="2" spans="2:19" s="1" customFormat="1" ht="15.75" customHeight="1">
      <c r="B2" s="279"/>
      <c r="C2" s="279"/>
      <c r="D2" s="27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0"/>
      <c r="B3" s="282"/>
      <c r="C3" s="283" t="s">
        <v>0</v>
      </c>
      <c r="D3" s="284" t="s">
        <v>138</v>
      </c>
      <c r="E3" s="31"/>
      <c r="F3" s="285" t="s">
        <v>26</v>
      </c>
      <c r="G3" s="286"/>
      <c r="H3" s="286"/>
      <c r="I3" s="286"/>
      <c r="J3" s="287"/>
      <c r="K3" s="82"/>
      <c r="L3" s="82"/>
      <c r="M3" s="82"/>
      <c r="N3" s="288" t="s">
        <v>132</v>
      </c>
      <c r="O3" s="291" t="s">
        <v>136</v>
      </c>
      <c r="P3" s="291"/>
      <c r="Q3" s="291"/>
      <c r="R3" s="291"/>
      <c r="S3" s="291"/>
    </row>
    <row r="4" spans="1:19" ht="22.5" customHeight="1">
      <c r="A4" s="280"/>
      <c r="B4" s="282"/>
      <c r="C4" s="283"/>
      <c r="D4" s="284"/>
      <c r="E4" s="292" t="s">
        <v>137</v>
      </c>
      <c r="F4" s="294" t="s">
        <v>33</v>
      </c>
      <c r="G4" s="296" t="s">
        <v>133</v>
      </c>
      <c r="H4" s="289" t="s">
        <v>134</v>
      </c>
      <c r="I4" s="296" t="s">
        <v>125</v>
      </c>
      <c r="J4" s="289" t="s">
        <v>126</v>
      </c>
      <c r="K4" s="84" t="s">
        <v>128</v>
      </c>
      <c r="L4" s="202" t="s">
        <v>111</v>
      </c>
      <c r="M4" s="89" t="s">
        <v>63</v>
      </c>
      <c r="N4" s="289"/>
      <c r="O4" s="298" t="s">
        <v>140</v>
      </c>
      <c r="P4" s="296" t="s">
        <v>49</v>
      </c>
      <c r="Q4" s="300" t="s">
        <v>48</v>
      </c>
      <c r="R4" s="90" t="s">
        <v>64</v>
      </c>
      <c r="S4" s="91" t="s">
        <v>63</v>
      </c>
    </row>
    <row r="5" spans="1:19" ht="67.5" customHeight="1">
      <c r="A5" s="281"/>
      <c r="B5" s="282"/>
      <c r="C5" s="283"/>
      <c r="D5" s="284"/>
      <c r="E5" s="293"/>
      <c r="F5" s="295"/>
      <c r="G5" s="297"/>
      <c r="H5" s="290"/>
      <c r="I5" s="297"/>
      <c r="J5" s="290"/>
      <c r="K5" s="301" t="s">
        <v>135</v>
      </c>
      <c r="L5" s="302"/>
      <c r="M5" s="303"/>
      <c r="N5" s="290"/>
      <c r="O5" s="299"/>
      <c r="P5" s="297"/>
      <c r="Q5" s="300"/>
      <c r="R5" s="301" t="s">
        <v>102</v>
      </c>
      <c r="S5" s="30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285.33</v>
      </c>
      <c r="G59" s="160"/>
      <c r="H59" s="162"/>
      <c r="I59" s="163"/>
      <c r="J59" s="163"/>
      <c r="K59" s="164">
        <v>147.3</v>
      </c>
      <c r="L59" s="163">
        <f t="shared" si="18"/>
        <v>138.02999999999997</v>
      </c>
      <c r="M59" s="216">
        <f t="shared" si="17"/>
        <v>1.9370672097759671</v>
      </c>
      <c r="N59" s="162">
        <f>E59-'січень 17'!E59</f>
        <v>0</v>
      </c>
      <c r="O59" s="166">
        <f>F59-'січень 17'!F59</f>
        <v>118.11999999999998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4"/>
      <c r="H89" s="304"/>
      <c r="I89" s="304"/>
      <c r="J89" s="30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5"/>
      <c r="P90" s="305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06"/>
      <c r="H91" s="306"/>
      <c r="I91" s="117"/>
      <c r="J91" s="307"/>
      <c r="K91" s="307"/>
      <c r="L91" s="307"/>
      <c r="M91" s="307"/>
      <c r="N91" s="307"/>
      <c r="O91" s="305"/>
      <c r="P91" s="305"/>
    </row>
    <row r="92" spans="3:16" ht="15.75" customHeight="1">
      <c r="C92" s="80">
        <v>42790</v>
      </c>
      <c r="D92" s="28">
        <v>4206.9</v>
      </c>
      <c r="F92" s="67"/>
      <c r="G92" s="306"/>
      <c r="H92" s="306"/>
      <c r="I92" s="117"/>
      <c r="J92" s="308"/>
      <c r="K92" s="308"/>
      <c r="L92" s="308"/>
      <c r="M92" s="308"/>
      <c r="N92" s="308"/>
      <c r="O92" s="305"/>
      <c r="P92" s="305"/>
    </row>
    <row r="93" spans="3:14" ht="15.75" customHeight="1">
      <c r="C93" s="80"/>
      <c r="F93" s="67"/>
      <c r="G93" s="312"/>
      <c r="H93" s="312"/>
      <c r="I93" s="123"/>
      <c r="J93" s="307"/>
      <c r="K93" s="307"/>
      <c r="L93" s="307"/>
      <c r="M93" s="307"/>
      <c r="N93" s="307"/>
    </row>
    <row r="94" spans="2:14" ht="18.75" customHeight="1">
      <c r="B94" s="313" t="s">
        <v>56</v>
      </c>
      <c r="C94" s="314"/>
      <c r="D94" s="132">
        <v>7713.34596</v>
      </c>
      <c r="E94" s="68"/>
      <c r="F94" s="124" t="s">
        <v>105</v>
      </c>
      <c r="G94" s="306"/>
      <c r="H94" s="306"/>
      <c r="I94" s="125"/>
      <c r="J94" s="307"/>
      <c r="K94" s="307"/>
      <c r="L94" s="307"/>
      <c r="M94" s="307"/>
      <c r="N94" s="307"/>
    </row>
    <row r="95" spans="6:13" ht="9.75" customHeight="1">
      <c r="F95" s="67"/>
      <c r="G95" s="306"/>
      <c r="H95" s="306"/>
      <c r="I95" s="67"/>
      <c r="J95" s="68"/>
      <c r="K95" s="68"/>
      <c r="L95" s="68"/>
      <c r="M95" s="68"/>
    </row>
    <row r="96" spans="2:13" ht="22.5" customHeight="1" hidden="1">
      <c r="B96" s="309" t="s">
        <v>59</v>
      </c>
      <c r="C96" s="310"/>
      <c r="D96" s="79">
        <v>0</v>
      </c>
      <c r="E96" s="50" t="s">
        <v>24</v>
      </c>
      <c r="F96" s="67"/>
      <c r="G96" s="306"/>
      <c r="H96" s="306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11"/>
      <c r="P98" s="31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78" t="s">
        <v>131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85"/>
      <c r="S1" s="86"/>
    </row>
    <row r="2" spans="2:19" s="1" customFormat="1" ht="15.75" customHeight="1">
      <c r="B2" s="279"/>
      <c r="C2" s="279"/>
      <c r="D2" s="27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0"/>
      <c r="B3" s="282"/>
      <c r="C3" s="283" t="s">
        <v>0</v>
      </c>
      <c r="D3" s="284" t="s">
        <v>121</v>
      </c>
      <c r="E3" s="31"/>
      <c r="F3" s="285" t="s">
        <v>26</v>
      </c>
      <c r="G3" s="286"/>
      <c r="H3" s="286"/>
      <c r="I3" s="286"/>
      <c r="J3" s="287"/>
      <c r="K3" s="82"/>
      <c r="L3" s="82"/>
      <c r="M3" s="82"/>
      <c r="N3" s="288" t="s">
        <v>119</v>
      </c>
      <c r="O3" s="291" t="s">
        <v>115</v>
      </c>
      <c r="P3" s="291"/>
      <c r="Q3" s="291"/>
      <c r="R3" s="291"/>
      <c r="S3" s="291"/>
    </row>
    <row r="4" spans="1:19" ht="22.5" customHeight="1">
      <c r="A4" s="280"/>
      <c r="B4" s="282"/>
      <c r="C4" s="283"/>
      <c r="D4" s="284"/>
      <c r="E4" s="292" t="s">
        <v>122</v>
      </c>
      <c r="F4" s="294" t="s">
        <v>33</v>
      </c>
      <c r="G4" s="296" t="s">
        <v>123</v>
      </c>
      <c r="H4" s="289" t="s">
        <v>124</v>
      </c>
      <c r="I4" s="296" t="s">
        <v>125</v>
      </c>
      <c r="J4" s="289" t="s">
        <v>126</v>
      </c>
      <c r="K4" s="84" t="s">
        <v>128</v>
      </c>
      <c r="L4" s="202" t="s">
        <v>111</v>
      </c>
      <c r="M4" s="89" t="s">
        <v>63</v>
      </c>
      <c r="N4" s="289"/>
      <c r="O4" s="298" t="s">
        <v>120</v>
      </c>
      <c r="P4" s="296" t="s">
        <v>49</v>
      </c>
      <c r="Q4" s="300" t="s">
        <v>48</v>
      </c>
      <c r="R4" s="90" t="s">
        <v>64</v>
      </c>
      <c r="S4" s="91" t="s">
        <v>63</v>
      </c>
    </row>
    <row r="5" spans="1:19" ht="67.5" customHeight="1">
      <c r="A5" s="281"/>
      <c r="B5" s="282"/>
      <c r="C5" s="283"/>
      <c r="D5" s="284"/>
      <c r="E5" s="293"/>
      <c r="F5" s="295"/>
      <c r="G5" s="297"/>
      <c r="H5" s="290"/>
      <c r="I5" s="297"/>
      <c r="J5" s="290"/>
      <c r="K5" s="301" t="s">
        <v>129</v>
      </c>
      <c r="L5" s="302"/>
      <c r="M5" s="303"/>
      <c r="N5" s="290"/>
      <c r="O5" s="299"/>
      <c r="P5" s="297"/>
      <c r="Q5" s="300"/>
      <c r="R5" s="301" t="s">
        <v>102</v>
      </c>
      <c r="S5" s="30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4"/>
      <c r="H89" s="304"/>
      <c r="I89" s="304"/>
      <c r="J89" s="30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5"/>
      <c r="P90" s="305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06"/>
      <c r="H91" s="306"/>
      <c r="I91" s="117"/>
      <c r="J91" s="307"/>
      <c r="K91" s="307"/>
      <c r="L91" s="307"/>
      <c r="M91" s="307"/>
      <c r="N91" s="307"/>
      <c r="O91" s="305"/>
      <c r="P91" s="305"/>
    </row>
    <row r="92" spans="3:16" ht="15.75" customHeight="1">
      <c r="C92" s="80">
        <v>42762</v>
      </c>
      <c r="D92" s="28">
        <v>8862.4</v>
      </c>
      <c r="F92" s="67"/>
      <c r="G92" s="306"/>
      <c r="H92" s="306"/>
      <c r="I92" s="117"/>
      <c r="J92" s="308"/>
      <c r="K92" s="308"/>
      <c r="L92" s="308"/>
      <c r="M92" s="308"/>
      <c r="N92" s="308"/>
      <c r="O92" s="305"/>
      <c r="P92" s="305"/>
    </row>
    <row r="93" spans="3:14" ht="15.75" customHeight="1">
      <c r="C93" s="80"/>
      <c r="F93" s="67"/>
      <c r="G93" s="312"/>
      <c r="H93" s="312"/>
      <c r="I93" s="123"/>
      <c r="J93" s="307"/>
      <c r="K93" s="307"/>
      <c r="L93" s="307"/>
      <c r="M93" s="307"/>
      <c r="N93" s="307"/>
    </row>
    <row r="94" spans="2:14" ht="18.75" customHeight="1">
      <c r="B94" s="313" t="s">
        <v>56</v>
      </c>
      <c r="C94" s="314"/>
      <c r="D94" s="132">
        <f>9505303.41/1000</f>
        <v>9505.30341</v>
      </c>
      <c r="E94" s="68"/>
      <c r="F94" s="124" t="s">
        <v>105</v>
      </c>
      <c r="G94" s="306"/>
      <c r="H94" s="306"/>
      <c r="I94" s="125"/>
      <c r="J94" s="307"/>
      <c r="K94" s="307"/>
      <c r="L94" s="307"/>
      <c r="M94" s="307"/>
      <c r="N94" s="307"/>
    </row>
    <row r="95" spans="6:13" ht="9.75" customHeight="1">
      <c r="F95" s="67"/>
      <c r="G95" s="306"/>
      <c r="H95" s="306"/>
      <c r="I95" s="67"/>
      <c r="J95" s="68"/>
      <c r="K95" s="68"/>
      <c r="L95" s="68"/>
      <c r="M95" s="68"/>
    </row>
    <row r="96" spans="2:13" ht="22.5" customHeight="1" hidden="1">
      <c r="B96" s="309" t="s">
        <v>59</v>
      </c>
      <c r="C96" s="310"/>
      <c r="D96" s="79">
        <v>0</v>
      </c>
      <c r="E96" s="50" t="s">
        <v>24</v>
      </c>
      <c r="F96" s="67"/>
      <c r="G96" s="306"/>
      <c r="H96" s="306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11"/>
      <c r="P98" s="31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2017-03-30T07:49:09Z</cp:lastPrinted>
  <dcterms:created xsi:type="dcterms:W3CDTF">2003-07-28T11:27:56Z</dcterms:created>
  <dcterms:modified xsi:type="dcterms:W3CDTF">2017-03-30T08:00:35Z</dcterms:modified>
  <cp:category/>
  <cp:version/>
  <cp:contentType/>
  <cp:contentStatus/>
</cp:coreProperties>
</file>